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donnelly\Desktop\ORS website\budget\"/>
    </mc:Choice>
  </mc:AlternateContent>
  <xr:revisionPtr revIDLastSave="0" documentId="8_{8509B9C0-793F-4191-BA87-271539F8D892}" xr6:coauthVersionLast="47" xr6:coauthVersionMax="47" xr10:uidLastSave="{00000000-0000-0000-0000-000000000000}"/>
  <bookViews>
    <workbookView xWindow="2880" yWindow="2880" windowWidth="18720" windowHeight="11730" xr2:uid="{00000000-000D-0000-FFFF-FFFF00000000}"/>
  </bookViews>
  <sheets>
    <sheet name="Main Page" sheetId="1" r:id="rId1"/>
    <sheet name="Cost Share" sheetId="8" r:id="rId2"/>
    <sheet name="Salary Worksheet" sheetId="2" r:id="rId3"/>
    <sheet name="Course Buyout" sheetId="9" r:id="rId4"/>
    <sheet name="Subcontract" sheetId="11" r:id="rId5"/>
    <sheet name="Tuition" sheetId="3" r:id="rId6"/>
    <sheet name="Calculator" sheetId="6" r:id="rId7"/>
    <sheet name="Reference" sheetId="7" r:id="rId8"/>
    <sheet name="Version Updates" sheetId="12" r:id="rId9"/>
  </sheets>
  <externalReferences>
    <externalReference r:id="rId10"/>
  </externalReferences>
  <definedNames>
    <definedName name="_xlnm._FilterDatabase" localSheetId="2" hidden="1">'Salary Worksheet'!#REF!</definedName>
    <definedName name="fam">Reference!$B$31</definedName>
    <definedName name="GA_25_A">Reference!$B$39</definedName>
    <definedName name="GA_25_Fall">Reference!#REF!</definedName>
    <definedName name="GA_25_Spr">Reference!$B$43</definedName>
    <definedName name="GA_50_A">Reference!$B$38</definedName>
    <definedName name="GA_50_Fall">Reference!$B$40</definedName>
    <definedName name="GA_50_Spr">Reference!$B$41</definedName>
    <definedName name="HI_inflation">[1]Cover!$D$23</definedName>
    <definedName name="ind">Reference!$B$30</definedName>
    <definedName name="PostDocBenefit">Reference!$B$46</definedName>
    <definedName name="PostDocBenefit2">Reference!$C$46</definedName>
    <definedName name="PostDocBenefit3">Reference!$D$46</definedName>
    <definedName name="PostDocBenefit4">Reference!$E$46</definedName>
    <definedName name="spouse">Reference!$B$32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J51" i="1"/>
  <c r="I51" i="1"/>
  <c r="H51" i="1"/>
  <c r="G51" i="1"/>
  <c r="J32" i="1"/>
  <c r="I32" i="1"/>
  <c r="H32" i="1"/>
  <c r="G32" i="1"/>
  <c r="F32" i="1"/>
  <c r="E40" i="1"/>
  <c r="F40" i="1"/>
  <c r="G40" i="1"/>
  <c r="H40" i="1"/>
  <c r="I40" i="1"/>
  <c r="J40" i="1"/>
  <c r="L32" i="1" l="1"/>
  <c r="L40" i="1"/>
  <c r="E59" i="11"/>
  <c r="E54" i="11"/>
  <c r="E49" i="11"/>
  <c r="E39" i="11"/>
  <c r="E34" i="11"/>
  <c r="E29" i="11"/>
  <c r="E24" i="11"/>
  <c r="F59" i="11" l="1"/>
  <c r="J59" i="11" s="1"/>
  <c r="G59" i="11"/>
  <c r="H59" i="11"/>
  <c r="I59" i="11"/>
  <c r="F54" i="11"/>
  <c r="G54" i="11"/>
  <c r="H54" i="11" s="1"/>
  <c r="F49" i="11"/>
  <c r="G49" i="11" s="1"/>
  <c r="F39" i="11"/>
  <c r="J39" i="11" s="1"/>
  <c r="G39" i="11"/>
  <c r="H39" i="11"/>
  <c r="I39" i="11"/>
  <c r="F34" i="11"/>
  <c r="G34" i="11"/>
  <c r="H34" i="11" s="1"/>
  <c r="F29" i="11"/>
  <c r="F24" i="11"/>
  <c r="J24" i="11" s="1"/>
  <c r="G24" i="11"/>
  <c r="H24" i="11"/>
  <c r="I24" i="11"/>
  <c r="I54" i="11" l="1"/>
  <c r="J54" i="11" s="1"/>
  <c r="I49" i="11"/>
  <c r="H49" i="11"/>
  <c r="J49" i="11" s="1"/>
  <c r="I34" i="11"/>
  <c r="J34" i="11" s="1"/>
  <c r="G29" i="11"/>
  <c r="H29" i="11" s="1"/>
  <c r="I29" i="11" l="1"/>
  <c r="J29" i="11"/>
  <c r="H59" i="9" l="1"/>
  <c r="G59" i="9"/>
  <c r="F59" i="9"/>
  <c r="E59" i="9"/>
  <c r="D59" i="9"/>
  <c r="C59" i="9"/>
  <c r="H55" i="9"/>
  <c r="G55" i="9"/>
  <c r="F55" i="9"/>
  <c r="E55" i="9"/>
  <c r="D55" i="9"/>
  <c r="C55" i="9"/>
  <c r="A22" i="9"/>
  <c r="V74" i="2"/>
  <c r="V75" i="2"/>
  <c r="V76" i="2"/>
  <c r="V77" i="2"/>
  <c r="V78" i="2"/>
  <c r="V79" i="2"/>
  <c r="V80" i="2"/>
  <c r="V81" i="2"/>
  <c r="J74" i="2"/>
  <c r="J75" i="2"/>
  <c r="J76" i="2"/>
  <c r="J77" i="2"/>
  <c r="J78" i="2"/>
  <c r="J79" i="2"/>
  <c r="J80" i="2"/>
  <c r="J81" i="2"/>
  <c r="V54" i="2"/>
  <c r="V55" i="2"/>
  <c r="V56" i="2"/>
  <c r="V57" i="2"/>
  <c r="V58" i="2"/>
  <c r="V59" i="2"/>
  <c r="V60" i="2"/>
  <c r="V61" i="2"/>
  <c r="J54" i="2"/>
  <c r="J55" i="2"/>
  <c r="J56" i="2"/>
  <c r="J57" i="2"/>
  <c r="J58" i="2"/>
  <c r="J59" i="2"/>
  <c r="J60" i="2"/>
  <c r="J61" i="2"/>
  <c r="V34" i="2"/>
  <c r="V35" i="2"/>
  <c r="V36" i="2"/>
  <c r="V37" i="2"/>
  <c r="V38" i="2"/>
  <c r="V39" i="2"/>
  <c r="V40" i="2"/>
  <c r="V41" i="2"/>
  <c r="H72" i="2"/>
  <c r="H74" i="2"/>
  <c r="H75" i="2"/>
  <c r="H76" i="2"/>
  <c r="H77" i="2"/>
  <c r="H78" i="2"/>
  <c r="H79" i="2"/>
  <c r="T79" i="2" s="1"/>
  <c r="H80" i="2"/>
  <c r="T80" i="2" s="1"/>
  <c r="H81" i="2"/>
  <c r="T81" i="2" s="1"/>
  <c r="T72" i="2"/>
  <c r="T74" i="2"/>
  <c r="T75" i="2"/>
  <c r="T76" i="2"/>
  <c r="T77" i="2"/>
  <c r="T78" i="2"/>
  <c r="T52" i="2"/>
  <c r="T54" i="2"/>
  <c r="T55" i="2"/>
  <c r="T56" i="2"/>
  <c r="T57" i="2"/>
  <c r="T58" i="2"/>
  <c r="T59" i="2"/>
  <c r="T60" i="2"/>
  <c r="T61" i="2"/>
  <c r="H52" i="2"/>
  <c r="H54" i="2"/>
  <c r="H55" i="2"/>
  <c r="H56" i="2"/>
  <c r="H57" i="2"/>
  <c r="H58" i="2"/>
  <c r="H59" i="2"/>
  <c r="H60" i="2"/>
  <c r="H61" i="2"/>
  <c r="H86" i="9" l="1"/>
  <c r="H87" i="9" s="1"/>
  <c r="G86" i="9"/>
  <c r="G87" i="9" s="1"/>
  <c r="F86" i="9"/>
  <c r="F87" i="9" s="1"/>
  <c r="E86" i="9"/>
  <c r="E87" i="9" s="1"/>
  <c r="D86" i="9"/>
  <c r="D87" i="9" s="1"/>
  <c r="C86" i="9"/>
  <c r="C87" i="9" s="1"/>
  <c r="H82" i="9"/>
  <c r="H83" i="9" s="1"/>
  <c r="G82" i="9"/>
  <c r="G83" i="9" s="1"/>
  <c r="F82" i="9"/>
  <c r="F83" i="9" s="1"/>
  <c r="E82" i="9"/>
  <c r="E83" i="9" s="1"/>
  <c r="D82" i="9"/>
  <c r="D83" i="9" s="1"/>
  <c r="C82" i="9"/>
  <c r="C83" i="9" s="1"/>
  <c r="H72" i="9"/>
  <c r="H73" i="9" s="1"/>
  <c r="G72" i="9"/>
  <c r="G73" i="9" s="1"/>
  <c r="F72" i="9"/>
  <c r="F73" i="9" s="1"/>
  <c r="E72" i="9"/>
  <c r="E73" i="9" s="1"/>
  <c r="D72" i="9"/>
  <c r="D73" i="9" s="1"/>
  <c r="C72" i="9"/>
  <c r="C73" i="9" s="1"/>
  <c r="H58" i="9"/>
  <c r="G58" i="9"/>
  <c r="F58" i="9"/>
  <c r="E58" i="9"/>
  <c r="D58" i="9"/>
  <c r="C58" i="9"/>
  <c r="H68" i="9"/>
  <c r="H69" i="9" s="1"/>
  <c r="G68" i="9"/>
  <c r="G69" i="9" s="1"/>
  <c r="F68" i="9"/>
  <c r="F69" i="9" s="1"/>
  <c r="E68" i="9"/>
  <c r="E69" i="9" s="1"/>
  <c r="D68" i="9"/>
  <c r="D69" i="9" s="1"/>
  <c r="C68" i="9"/>
  <c r="C69" i="9" s="1"/>
  <c r="H54" i="9"/>
  <c r="G54" i="9"/>
  <c r="F54" i="9"/>
  <c r="E54" i="9"/>
  <c r="D54" i="9"/>
  <c r="C54" i="9"/>
  <c r="C44" i="9"/>
  <c r="C45" i="9" s="1"/>
  <c r="H44" i="9"/>
  <c r="H45" i="9" s="1"/>
  <c r="G44" i="9"/>
  <c r="G45" i="9" s="1"/>
  <c r="F44" i="9"/>
  <c r="F45" i="9" s="1"/>
  <c r="E44" i="9"/>
  <c r="E45" i="9" s="1"/>
  <c r="D44" i="9"/>
  <c r="D45" i="9" s="1"/>
  <c r="H40" i="9"/>
  <c r="H41" i="9" s="1"/>
  <c r="G40" i="9"/>
  <c r="G41" i="9" s="1"/>
  <c r="F40" i="9"/>
  <c r="F41" i="9" s="1"/>
  <c r="E40" i="9"/>
  <c r="E41" i="9" s="1"/>
  <c r="D40" i="9"/>
  <c r="D41" i="9" s="1"/>
  <c r="C40" i="9"/>
  <c r="C41" i="9" s="1"/>
  <c r="J11" i="1" l="1"/>
  <c r="J10" i="1"/>
  <c r="J9" i="1"/>
  <c r="J8" i="1"/>
  <c r="H30" i="9"/>
  <c r="H31" i="9" s="1"/>
  <c r="G30" i="9"/>
  <c r="G31" i="9" s="1"/>
  <c r="F30" i="9"/>
  <c r="F31" i="9" s="1"/>
  <c r="E30" i="9"/>
  <c r="E31" i="9" s="1"/>
  <c r="D30" i="9"/>
  <c r="D31" i="9" s="1"/>
  <c r="C30" i="9"/>
  <c r="C31" i="9" s="1"/>
  <c r="H26" i="9"/>
  <c r="H27" i="9" s="1"/>
  <c r="G26" i="9"/>
  <c r="G27" i="9" s="1"/>
  <c r="F26" i="9"/>
  <c r="F27" i="9" s="1"/>
  <c r="E26" i="9"/>
  <c r="E27" i="9" s="1"/>
  <c r="D26" i="9"/>
  <c r="D27" i="9" s="1"/>
  <c r="C26" i="9"/>
  <c r="C27" i="9" s="1"/>
  <c r="J7" i="1"/>
  <c r="J6" i="1"/>
  <c r="H16" i="9"/>
  <c r="H17" i="9" s="1"/>
  <c r="G16" i="9"/>
  <c r="G17" i="9" s="1"/>
  <c r="F16" i="9"/>
  <c r="F17" i="9" s="1"/>
  <c r="E16" i="9"/>
  <c r="E17" i="9" s="1"/>
  <c r="C16" i="9"/>
  <c r="C17" i="9" s="1"/>
  <c r="D16" i="9"/>
  <c r="D17" i="9" s="1"/>
  <c r="H12" i="9"/>
  <c r="H13" i="9" s="1"/>
  <c r="G12" i="9"/>
  <c r="G13" i="9" s="1"/>
  <c r="F12" i="9"/>
  <c r="F13" i="9" s="1"/>
  <c r="C12" i="9"/>
  <c r="C13" i="9" s="1"/>
  <c r="D12" i="9"/>
  <c r="D13" i="9" s="1"/>
  <c r="E12" i="9"/>
  <c r="E13" i="9" s="1"/>
  <c r="J3" i="11"/>
  <c r="I3" i="11"/>
  <c r="H3" i="11"/>
  <c r="G3" i="11"/>
  <c r="F3" i="11"/>
  <c r="E3" i="11"/>
  <c r="J58" i="11"/>
  <c r="I58" i="11"/>
  <c r="H58" i="11"/>
  <c r="G58" i="11"/>
  <c r="F58" i="11"/>
  <c r="E58" i="11"/>
  <c r="K57" i="11"/>
  <c r="K56" i="11"/>
  <c r="J53" i="11"/>
  <c r="I53" i="11"/>
  <c r="H53" i="11"/>
  <c r="G53" i="11"/>
  <c r="F53" i="11"/>
  <c r="E53" i="11"/>
  <c r="K52" i="11"/>
  <c r="K51" i="11"/>
  <c r="J48" i="11"/>
  <c r="I48" i="11"/>
  <c r="H48" i="11"/>
  <c r="G48" i="11"/>
  <c r="F48" i="11"/>
  <c r="E48" i="11"/>
  <c r="K47" i="11"/>
  <c r="K46" i="11"/>
  <c r="J43" i="11"/>
  <c r="I43" i="11"/>
  <c r="H43" i="11"/>
  <c r="G43" i="11"/>
  <c r="F43" i="11"/>
  <c r="E43" i="11"/>
  <c r="E44" i="11" s="1"/>
  <c r="K42" i="11"/>
  <c r="K41" i="11"/>
  <c r="J38" i="11"/>
  <c r="I38" i="11"/>
  <c r="H38" i="11"/>
  <c r="G38" i="11"/>
  <c r="F38" i="11"/>
  <c r="E38" i="11"/>
  <c r="K37" i="11"/>
  <c r="K36" i="11"/>
  <c r="J33" i="11"/>
  <c r="I33" i="11"/>
  <c r="H33" i="11"/>
  <c r="G33" i="11"/>
  <c r="F33" i="11"/>
  <c r="E33" i="11"/>
  <c r="K32" i="11"/>
  <c r="K31" i="11"/>
  <c r="J28" i="11"/>
  <c r="I28" i="11"/>
  <c r="H28" i="11"/>
  <c r="G28" i="11"/>
  <c r="F28" i="11"/>
  <c r="E28" i="11"/>
  <c r="K27" i="11"/>
  <c r="K26" i="11"/>
  <c r="J23" i="11"/>
  <c r="I23" i="11"/>
  <c r="H23" i="11"/>
  <c r="G23" i="11"/>
  <c r="F23" i="11"/>
  <c r="E23" i="11"/>
  <c r="K22" i="11"/>
  <c r="K21" i="11"/>
  <c r="J18" i="11"/>
  <c r="I18" i="11"/>
  <c r="H18" i="11"/>
  <c r="G18" i="11"/>
  <c r="F18" i="11"/>
  <c r="E18" i="11"/>
  <c r="E19" i="11" s="1"/>
  <c r="K17" i="11"/>
  <c r="K16" i="11"/>
  <c r="K12" i="11"/>
  <c r="K11" i="11"/>
  <c r="J13" i="11"/>
  <c r="I13" i="11"/>
  <c r="I5" i="11" s="1"/>
  <c r="I47" i="1" s="1"/>
  <c r="H13" i="11"/>
  <c r="G13" i="11"/>
  <c r="F13" i="11"/>
  <c r="E13" i="11"/>
  <c r="E14" i="11" s="1"/>
  <c r="J13" i="1"/>
  <c r="J14" i="1"/>
  <c r="J15" i="1"/>
  <c r="J16" i="1"/>
  <c r="J17" i="1"/>
  <c r="J18" i="1"/>
  <c r="J19" i="1"/>
  <c r="J20" i="1"/>
  <c r="J21" i="1"/>
  <c r="L35" i="1"/>
  <c r="L39" i="1"/>
  <c r="L38" i="1"/>
  <c r="L37" i="1"/>
  <c r="L36" i="1"/>
  <c r="F19" i="11" l="1"/>
  <c r="G19" i="11" s="1"/>
  <c r="F14" i="11"/>
  <c r="G14" i="11" s="1"/>
  <c r="J5" i="11"/>
  <c r="J47" i="1" s="1"/>
  <c r="F44" i="11"/>
  <c r="G44" i="11"/>
  <c r="H44" i="11" s="1"/>
  <c r="I44" i="11" s="1"/>
  <c r="G5" i="11"/>
  <c r="G47" i="1" s="1"/>
  <c r="E7" i="11"/>
  <c r="H5" i="11"/>
  <c r="H47" i="1" s="1"/>
  <c r="F5" i="11"/>
  <c r="F47" i="1" s="1"/>
  <c r="F51" i="1" s="1"/>
  <c r="E5" i="11"/>
  <c r="E47" i="1" s="1"/>
  <c r="E51" i="1" s="1"/>
  <c r="K49" i="11"/>
  <c r="K54" i="11"/>
  <c r="K59" i="11"/>
  <c r="K39" i="11"/>
  <c r="K3" i="11"/>
  <c r="K24" i="11"/>
  <c r="K29" i="11"/>
  <c r="K13" i="11"/>
  <c r="K58" i="11"/>
  <c r="K53" i="11"/>
  <c r="K48" i="11"/>
  <c r="K43" i="11"/>
  <c r="K38" i="11"/>
  <c r="K34" i="11"/>
  <c r="K33" i="11"/>
  <c r="K28" i="11"/>
  <c r="K23" i="11"/>
  <c r="K18" i="11"/>
  <c r="J21" i="8"/>
  <c r="I21" i="8"/>
  <c r="H21" i="8"/>
  <c r="G21" i="8"/>
  <c r="F21" i="8"/>
  <c r="E21" i="8"/>
  <c r="J20" i="8"/>
  <c r="I20" i="8"/>
  <c r="H20" i="8"/>
  <c r="G20" i="8"/>
  <c r="F20" i="8"/>
  <c r="E20" i="8"/>
  <c r="J19" i="8"/>
  <c r="I19" i="8"/>
  <c r="H19" i="8"/>
  <c r="G19" i="8"/>
  <c r="F19" i="8"/>
  <c r="E19" i="8"/>
  <c r="J18" i="8"/>
  <c r="I18" i="8"/>
  <c r="H18" i="8"/>
  <c r="G18" i="8"/>
  <c r="F18" i="8"/>
  <c r="E18" i="8"/>
  <c r="J17" i="8"/>
  <c r="I17" i="8"/>
  <c r="H17" i="8"/>
  <c r="G17" i="8"/>
  <c r="F17" i="8"/>
  <c r="E17" i="8"/>
  <c r="J16" i="8"/>
  <c r="I16" i="8"/>
  <c r="H16" i="8"/>
  <c r="G16" i="8"/>
  <c r="F16" i="8"/>
  <c r="E16" i="8"/>
  <c r="J15" i="8"/>
  <c r="I15" i="8"/>
  <c r="H15" i="8"/>
  <c r="G15" i="8"/>
  <c r="F15" i="8"/>
  <c r="E15" i="8"/>
  <c r="J14" i="8"/>
  <c r="I14" i="8"/>
  <c r="H14" i="8"/>
  <c r="G14" i="8"/>
  <c r="F14" i="8"/>
  <c r="E14" i="8"/>
  <c r="J13" i="8"/>
  <c r="I13" i="8"/>
  <c r="H13" i="8"/>
  <c r="G13" i="8"/>
  <c r="F13" i="8"/>
  <c r="E13" i="8"/>
  <c r="J12" i="8"/>
  <c r="I12" i="8"/>
  <c r="H12" i="8"/>
  <c r="G12" i="8"/>
  <c r="F12" i="8"/>
  <c r="E12" i="8"/>
  <c r="J11" i="8"/>
  <c r="I11" i="8"/>
  <c r="H11" i="8"/>
  <c r="G11" i="8"/>
  <c r="F11" i="8"/>
  <c r="E11" i="8"/>
  <c r="J10" i="8"/>
  <c r="I10" i="8"/>
  <c r="H10" i="8"/>
  <c r="G10" i="8"/>
  <c r="F10" i="8"/>
  <c r="E10" i="8"/>
  <c r="J9" i="8"/>
  <c r="I9" i="8"/>
  <c r="H9" i="8"/>
  <c r="G9" i="8"/>
  <c r="F9" i="8"/>
  <c r="E9" i="8"/>
  <c r="J8" i="8"/>
  <c r="I8" i="8"/>
  <c r="H8" i="8"/>
  <c r="G8" i="8"/>
  <c r="F8" i="8"/>
  <c r="E8" i="8"/>
  <c r="J7" i="8"/>
  <c r="I7" i="8"/>
  <c r="H7" i="8"/>
  <c r="G7" i="8"/>
  <c r="F7" i="8"/>
  <c r="E7" i="8"/>
  <c r="J6" i="8"/>
  <c r="I6" i="8"/>
  <c r="H6" i="8"/>
  <c r="G6" i="8"/>
  <c r="F6" i="8"/>
  <c r="L51" i="1" l="1"/>
  <c r="H19" i="11"/>
  <c r="I19" i="11" s="1"/>
  <c r="G7" i="11"/>
  <c r="F7" i="11"/>
  <c r="J44" i="11"/>
  <c r="K44" i="11" s="1"/>
  <c r="H14" i="11"/>
  <c r="K5" i="11"/>
  <c r="E70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H33" i="2" s="1"/>
  <c r="T33" i="2" s="1"/>
  <c r="F32" i="2"/>
  <c r="E32" i="2"/>
  <c r="H32" i="2" s="1"/>
  <c r="T32" i="2" s="1"/>
  <c r="F31" i="2"/>
  <c r="E31" i="2"/>
  <c r="H31" i="2" s="1"/>
  <c r="T31" i="2" s="1"/>
  <c r="F30" i="2"/>
  <c r="E30" i="2"/>
  <c r="H30" i="2" s="1"/>
  <c r="T30" i="2" s="1"/>
  <c r="F29" i="2"/>
  <c r="E29" i="2"/>
  <c r="H29" i="2" s="1"/>
  <c r="T29" i="2" s="1"/>
  <c r="F28" i="2"/>
  <c r="R28" i="2" s="1"/>
  <c r="E28" i="2"/>
  <c r="H28" i="2" s="1"/>
  <c r="T28" i="2" s="1"/>
  <c r="F27" i="2"/>
  <c r="E27" i="2"/>
  <c r="H27" i="2" s="1"/>
  <c r="T27" i="2" s="1"/>
  <c r="F26" i="2"/>
  <c r="E81" i="2"/>
  <c r="E80" i="2"/>
  <c r="E79" i="2"/>
  <c r="E78" i="2"/>
  <c r="E77" i="2"/>
  <c r="E76" i="2"/>
  <c r="E75" i="2"/>
  <c r="E74" i="2"/>
  <c r="E73" i="2"/>
  <c r="E72" i="2"/>
  <c r="E71" i="2"/>
  <c r="E69" i="2"/>
  <c r="E68" i="2"/>
  <c r="E67" i="2"/>
  <c r="E66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26" i="2"/>
  <c r="H26" i="2" s="1"/>
  <c r="T26" i="2" s="1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J19" i="11" l="1"/>
  <c r="K19" i="11" s="1"/>
  <c r="H7" i="11"/>
  <c r="I14" i="11"/>
  <c r="H50" i="2"/>
  <c r="H48" i="2"/>
  <c r="H47" i="2"/>
  <c r="H49" i="2"/>
  <c r="H53" i="2"/>
  <c r="H51" i="2"/>
  <c r="H46" i="2"/>
  <c r="H38" i="2"/>
  <c r="T38" i="2" s="1"/>
  <c r="H39" i="2"/>
  <c r="T39" i="2" s="1"/>
  <c r="H40" i="2"/>
  <c r="T40" i="2" s="1"/>
  <c r="H35" i="2"/>
  <c r="T35" i="2" s="1"/>
  <c r="H41" i="2"/>
  <c r="T41" i="2" s="1"/>
  <c r="H36" i="2"/>
  <c r="T36" i="2" s="1"/>
  <c r="H34" i="2"/>
  <c r="T34" i="2" s="1"/>
  <c r="H37" i="2"/>
  <c r="T37" i="2" s="1"/>
  <c r="E42" i="8"/>
  <c r="N8" i="8"/>
  <c r="O8" i="8"/>
  <c r="P8" i="8"/>
  <c r="Q8" i="8"/>
  <c r="R8" i="8"/>
  <c r="S8" i="8"/>
  <c r="N9" i="8"/>
  <c r="O9" i="8"/>
  <c r="P9" i="8"/>
  <c r="Q9" i="8"/>
  <c r="R9" i="8"/>
  <c r="S9" i="8"/>
  <c r="N10" i="8"/>
  <c r="O10" i="8"/>
  <c r="P10" i="8"/>
  <c r="Q10" i="8"/>
  <c r="R10" i="8"/>
  <c r="S10" i="8"/>
  <c r="N11" i="8"/>
  <c r="O11" i="8"/>
  <c r="P11" i="8"/>
  <c r="Q11" i="8"/>
  <c r="R11" i="8"/>
  <c r="S11" i="8"/>
  <c r="N12" i="8"/>
  <c r="O12" i="8"/>
  <c r="P12" i="8"/>
  <c r="Q12" i="8"/>
  <c r="R12" i="8"/>
  <c r="S12" i="8"/>
  <c r="N13" i="8"/>
  <c r="O13" i="8"/>
  <c r="P13" i="8"/>
  <c r="Q13" i="8"/>
  <c r="R13" i="8"/>
  <c r="S13" i="8"/>
  <c r="N14" i="8"/>
  <c r="O14" i="8"/>
  <c r="P14" i="8"/>
  <c r="Q14" i="8"/>
  <c r="R14" i="8"/>
  <c r="S14" i="8"/>
  <c r="N15" i="8"/>
  <c r="O15" i="8"/>
  <c r="P15" i="8"/>
  <c r="Q15" i="8"/>
  <c r="R15" i="8"/>
  <c r="S15" i="8"/>
  <c r="N16" i="8"/>
  <c r="O16" i="8"/>
  <c r="P16" i="8"/>
  <c r="Q16" i="8"/>
  <c r="R16" i="8"/>
  <c r="S16" i="8"/>
  <c r="N17" i="8"/>
  <c r="O17" i="8"/>
  <c r="P17" i="8"/>
  <c r="Q17" i="8"/>
  <c r="R17" i="8"/>
  <c r="S17" i="8"/>
  <c r="N18" i="8"/>
  <c r="O18" i="8"/>
  <c r="P18" i="8"/>
  <c r="Q18" i="8"/>
  <c r="R18" i="8"/>
  <c r="S18" i="8"/>
  <c r="N19" i="8"/>
  <c r="O19" i="8"/>
  <c r="P19" i="8"/>
  <c r="Q19" i="8"/>
  <c r="R19" i="8"/>
  <c r="S19" i="8"/>
  <c r="N20" i="8"/>
  <c r="O20" i="8"/>
  <c r="P20" i="8"/>
  <c r="Q20" i="8"/>
  <c r="R20" i="8"/>
  <c r="S20" i="8"/>
  <c r="N21" i="8"/>
  <c r="O21" i="8"/>
  <c r="P21" i="8"/>
  <c r="Q21" i="8"/>
  <c r="R21" i="8"/>
  <c r="S21" i="8"/>
  <c r="F42" i="8"/>
  <c r="G42" i="8"/>
  <c r="H42" i="8"/>
  <c r="I42" i="8"/>
  <c r="J42" i="8"/>
  <c r="L45" i="8"/>
  <c r="A78" i="9"/>
  <c r="I88" i="9" s="1"/>
  <c r="A64" i="9"/>
  <c r="R26" i="2"/>
  <c r="A50" i="9"/>
  <c r="A36" i="9"/>
  <c r="I40" i="9" s="1"/>
  <c r="J7" i="2"/>
  <c r="I30" i="9"/>
  <c r="A8" i="9"/>
  <c r="I16" i="9" s="1"/>
  <c r="L41" i="8"/>
  <c r="L40" i="8"/>
  <c r="L39" i="8"/>
  <c r="L38" i="8"/>
  <c r="L37" i="8"/>
  <c r="L36" i="8"/>
  <c r="L35" i="8"/>
  <c r="L32" i="8"/>
  <c r="L30" i="8"/>
  <c r="L29" i="8"/>
  <c r="L26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J21" i="2"/>
  <c r="I41" i="2" s="1"/>
  <c r="A21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6" i="1"/>
  <c r="B18" i="6"/>
  <c r="B20" i="6" s="1"/>
  <c r="D3" i="2"/>
  <c r="Q6" i="3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66" i="2"/>
  <c r="D66" i="2"/>
  <c r="G3" i="2"/>
  <c r="H19" i="6"/>
  <c r="E19" i="6"/>
  <c r="G17" i="6"/>
  <c r="G18" i="6" s="1"/>
  <c r="H18" i="6" s="1"/>
  <c r="D17" i="6"/>
  <c r="D15" i="6" s="1"/>
  <c r="E15" i="6" s="1"/>
  <c r="H16" i="6"/>
  <c r="E16" i="6"/>
  <c r="B15" i="6"/>
  <c r="H8" i="6"/>
  <c r="E8" i="6"/>
  <c r="H5" i="6"/>
  <c r="E5" i="6"/>
  <c r="H4" i="6"/>
  <c r="G4" i="6"/>
  <c r="G6" i="6" s="1"/>
  <c r="H6" i="6" s="1"/>
  <c r="D4" i="6"/>
  <c r="D6" i="6" s="1"/>
  <c r="E6" i="6" s="1"/>
  <c r="B6" i="6"/>
  <c r="J14" i="11" l="1"/>
  <c r="J7" i="11" s="1"/>
  <c r="I7" i="11"/>
  <c r="T50" i="2"/>
  <c r="T48" i="2"/>
  <c r="T47" i="2"/>
  <c r="T49" i="2"/>
  <c r="T53" i="2"/>
  <c r="T51" i="2"/>
  <c r="T46" i="2"/>
  <c r="J41" i="2"/>
  <c r="K41" i="2" s="1"/>
  <c r="E21" i="1"/>
  <c r="G81" i="2"/>
  <c r="S61" i="2"/>
  <c r="S41" i="2"/>
  <c r="G41" i="2"/>
  <c r="G67" i="2"/>
  <c r="S27" i="2"/>
  <c r="G27" i="2"/>
  <c r="I27" i="2" s="1"/>
  <c r="S47" i="2"/>
  <c r="S81" i="2"/>
  <c r="G61" i="2"/>
  <c r="S67" i="2"/>
  <c r="G47" i="2"/>
  <c r="F46" i="2"/>
  <c r="I18" i="9"/>
  <c r="I14" i="9"/>
  <c r="I84" i="9"/>
  <c r="I12" i="9"/>
  <c r="I74" i="9"/>
  <c r="I86" i="9"/>
  <c r="I82" i="9"/>
  <c r="I70" i="9"/>
  <c r="I72" i="9"/>
  <c r="I68" i="9"/>
  <c r="I17" i="9"/>
  <c r="J16" i="9"/>
  <c r="L42" i="8"/>
  <c r="I60" i="9"/>
  <c r="I56" i="9"/>
  <c r="I58" i="9"/>
  <c r="I54" i="9"/>
  <c r="J54" i="9" s="1"/>
  <c r="I46" i="9"/>
  <c r="I26" i="9"/>
  <c r="I32" i="9"/>
  <c r="I44" i="9"/>
  <c r="J44" i="9" s="1"/>
  <c r="I42" i="9"/>
  <c r="J40" i="9"/>
  <c r="J30" i="9"/>
  <c r="I28" i="9"/>
  <c r="I41" i="9"/>
  <c r="L15" i="8"/>
  <c r="L19" i="8"/>
  <c r="L17" i="8"/>
  <c r="L13" i="8"/>
  <c r="L21" i="8"/>
  <c r="L20" i="8"/>
  <c r="L16" i="8"/>
  <c r="L12" i="8"/>
  <c r="L18" i="8"/>
  <c r="L14" i="8"/>
  <c r="H15" i="6"/>
  <c r="H17" i="6"/>
  <c r="E17" i="6"/>
  <c r="E4" i="6"/>
  <c r="G15" i="6"/>
  <c r="D7" i="6"/>
  <c r="B7" i="6"/>
  <c r="B9" i="6" s="1"/>
  <c r="G7" i="6"/>
  <c r="G20" i="6"/>
  <c r="H20" i="6" s="1"/>
  <c r="D18" i="6"/>
  <c r="K14" i="11" l="1"/>
  <c r="K7" i="11"/>
  <c r="H70" i="2"/>
  <c r="H68" i="2"/>
  <c r="H67" i="2"/>
  <c r="H69" i="2"/>
  <c r="H73" i="2"/>
  <c r="H71" i="2"/>
  <c r="H66" i="2"/>
  <c r="J27" i="2"/>
  <c r="K27" i="2" s="1"/>
  <c r="R46" i="2"/>
  <c r="J12" i="9"/>
  <c r="J68" i="9"/>
  <c r="I83" i="9"/>
  <c r="I55" i="9"/>
  <c r="I13" i="9"/>
  <c r="I27" i="9"/>
  <c r="E7" i="1"/>
  <c r="J26" i="9"/>
  <c r="J82" i="9"/>
  <c r="J86" i="9"/>
  <c r="I87" i="9"/>
  <c r="I69" i="9"/>
  <c r="L10" i="8"/>
  <c r="H88" i="9"/>
  <c r="E88" i="9"/>
  <c r="D88" i="9"/>
  <c r="I73" i="9"/>
  <c r="J72" i="9"/>
  <c r="I59" i="9"/>
  <c r="J58" i="9"/>
  <c r="I45" i="9"/>
  <c r="I31" i="9"/>
  <c r="G9" i="6"/>
  <c r="H9" i="6" s="1"/>
  <c r="H7" i="6"/>
  <c r="D20" i="6"/>
  <c r="E20" i="6" s="1"/>
  <c r="E18" i="6"/>
  <c r="D9" i="6"/>
  <c r="E9" i="6" s="1"/>
  <c r="E7" i="6"/>
  <c r="T70" i="2" l="1"/>
  <c r="T68" i="2"/>
  <c r="T67" i="2"/>
  <c r="T69" i="2"/>
  <c r="T73" i="2"/>
  <c r="T71" i="2"/>
  <c r="T66" i="2"/>
  <c r="C92" i="9"/>
  <c r="D56" i="9"/>
  <c r="C28" i="9"/>
  <c r="H92" i="9"/>
  <c r="F66" i="2"/>
  <c r="C18" i="9"/>
  <c r="C88" i="9"/>
  <c r="L11" i="8"/>
  <c r="D28" i="9"/>
  <c r="F88" i="9"/>
  <c r="D70" i="9"/>
  <c r="G56" i="9"/>
  <c r="G88" i="9"/>
  <c r="H70" i="9"/>
  <c r="E56" i="9"/>
  <c r="P26" i="8"/>
  <c r="L8" i="8"/>
  <c r="E84" i="9"/>
  <c r="P28" i="8"/>
  <c r="Q24" i="8"/>
  <c r="F56" i="9"/>
  <c r="C70" i="9"/>
  <c r="F70" i="9"/>
  <c r="G84" i="9"/>
  <c r="R28" i="8"/>
  <c r="G92" i="9"/>
  <c r="H84" i="9"/>
  <c r="S28" i="8"/>
  <c r="C56" i="9"/>
  <c r="E70" i="9"/>
  <c r="D84" i="9"/>
  <c r="O28" i="8"/>
  <c r="H56" i="9"/>
  <c r="G70" i="9"/>
  <c r="C84" i="9"/>
  <c r="N28" i="8"/>
  <c r="F84" i="9"/>
  <c r="Q28" i="8"/>
  <c r="R23" i="8"/>
  <c r="S23" i="8"/>
  <c r="N23" i="8"/>
  <c r="D92" i="9"/>
  <c r="E92" i="9"/>
  <c r="F92" i="9"/>
  <c r="F60" i="9"/>
  <c r="G42" i="9"/>
  <c r="H42" i="9"/>
  <c r="F42" i="9"/>
  <c r="F32" i="9"/>
  <c r="F28" i="9"/>
  <c r="E28" i="9"/>
  <c r="H28" i="9"/>
  <c r="G28" i="9"/>
  <c r="D42" i="9"/>
  <c r="C42" i="9"/>
  <c r="E42" i="9"/>
  <c r="E46" i="9"/>
  <c r="C46" i="9"/>
  <c r="F46" i="9"/>
  <c r="H46" i="9"/>
  <c r="G46" i="9"/>
  <c r="D46" i="9"/>
  <c r="C32" i="9"/>
  <c r="G32" i="9"/>
  <c r="E32" i="9"/>
  <c r="H32" i="9"/>
  <c r="D32" i="9"/>
  <c r="F3" i="1"/>
  <c r="D93" i="9" l="1"/>
  <c r="H93" i="9"/>
  <c r="C93" i="9"/>
  <c r="F93" i="9"/>
  <c r="E93" i="9"/>
  <c r="G93" i="9"/>
  <c r="D74" i="9"/>
  <c r="R66" i="2"/>
  <c r="D60" i="9"/>
  <c r="E74" i="9"/>
  <c r="H60" i="9"/>
  <c r="C60" i="9"/>
  <c r="C74" i="9"/>
  <c r="L9" i="8"/>
  <c r="S26" i="8"/>
  <c r="G74" i="9"/>
  <c r="H74" i="9"/>
  <c r="G60" i="9"/>
  <c r="F74" i="9"/>
  <c r="E60" i="9"/>
  <c r="Q26" i="8"/>
  <c r="O24" i="8"/>
  <c r="O26" i="8"/>
  <c r="S24" i="8"/>
  <c r="R27" i="8"/>
  <c r="S27" i="8"/>
  <c r="P25" i="8"/>
  <c r="N25" i="8"/>
  <c r="P27" i="8"/>
  <c r="Q27" i="8"/>
  <c r="P24" i="8"/>
  <c r="R24" i="8"/>
  <c r="O25" i="8"/>
  <c r="R26" i="8"/>
  <c r="N24" i="8"/>
  <c r="R25" i="8"/>
  <c r="N26" i="8"/>
  <c r="S25" i="8"/>
  <c r="O27" i="8"/>
  <c r="N27" i="8"/>
  <c r="Q25" i="8"/>
  <c r="P23" i="8"/>
  <c r="Q23" i="8"/>
  <c r="O23" i="8"/>
  <c r="G3" i="1"/>
  <c r="H3" i="1" s="1"/>
  <c r="I3" i="1" s="1"/>
  <c r="J3" i="1" s="1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6" i="2"/>
  <c r="I7" i="3"/>
  <c r="G38" i="2" l="1"/>
  <c r="G78" i="2"/>
  <c r="S58" i="2"/>
  <c r="S38" i="2"/>
  <c r="I38" i="2"/>
  <c r="J38" i="2" s="1"/>
  <c r="G39" i="2"/>
  <c r="S59" i="2"/>
  <c r="S39" i="2"/>
  <c r="G79" i="2"/>
  <c r="I39" i="2"/>
  <c r="J39" i="2" s="1"/>
  <c r="G80" i="2"/>
  <c r="S40" i="2"/>
  <c r="G40" i="2"/>
  <c r="S60" i="2"/>
  <c r="I40" i="2"/>
  <c r="J40" i="2" s="1"/>
  <c r="G35" i="2"/>
  <c r="G75" i="2"/>
  <c r="S55" i="2"/>
  <c r="S35" i="2"/>
  <c r="I35" i="2"/>
  <c r="J35" i="2" s="1"/>
  <c r="G76" i="2"/>
  <c r="S56" i="2"/>
  <c r="S36" i="2"/>
  <c r="G36" i="2"/>
  <c r="I36" i="2"/>
  <c r="J36" i="2" s="1"/>
  <c r="G34" i="2"/>
  <c r="G74" i="2"/>
  <c r="S54" i="2"/>
  <c r="S34" i="2"/>
  <c r="I34" i="2"/>
  <c r="J34" i="2" s="1"/>
  <c r="G77" i="2"/>
  <c r="S57" i="2"/>
  <c r="S37" i="2"/>
  <c r="G37" i="2"/>
  <c r="I37" i="2"/>
  <c r="J37" i="2" s="1"/>
  <c r="I33" i="2"/>
  <c r="J33" i="2" s="1"/>
  <c r="G33" i="2"/>
  <c r="S53" i="2"/>
  <c r="G73" i="2"/>
  <c r="S33" i="2"/>
  <c r="G72" i="2"/>
  <c r="S52" i="2"/>
  <c r="S32" i="2"/>
  <c r="G32" i="2"/>
  <c r="I32" i="2"/>
  <c r="J32" i="2" s="1"/>
  <c r="G68" i="2"/>
  <c r="S48" i="2"/>
  <c r="S49" i="2"/>
  <c r="S29" i="2"/>
  <c r="G69" i="2"/>
  <c r="G29" i="2"/>
  <c r="I29" i="2" s="1"/>
  <c r="J29" i="2" s="1"/>
  <c r="G70" i="2"/>
  <c r="S50" i="2"/>
  <c r="S30" i="2"/>
  <c r="G30" i="2"/>
  <c r="I30" i="2"/>
  <c r="J30" i="2" s="1"/>
  <c r="S31" i="2"/>
  <c r="G71" i="2"/>
  <c r="I31" i="2"/>
  <c r="G31" i="2"/>
  <c r="S51" i="2"/>
  <c r="I28" i="2"/>
  <c r="G28" i="2"/>
  <c r="S28" i="2"/>
  <c r="U28" i="2"/>
  <c r="S26" i="2"/>
  <c r="U26" i="2" s="1"/>
  <c r="V26" i="2" s="1"/>
  <c r="I66" i="2"/>
  <c r="U46" i="2"/>
  <c r="V46" i="2" s="1"/>
  <c r="G66" i="2"/>
  <c r="S46" i="2"/>
  <c r="G26" i="2"/>
  <c r="I26" i="2" s="1"/>
  <c r="J26" i="2" s="1"/>
  <c r="S77" i="2"/>
  <c r="G57" i="2"/>
  <c r="S78" i="2"/>
  <c r="G58" i="2"/>
  <c r="S79" i="2"/>
  <c r="G59" i="2"/>
  <c r="S80" i="2"/>
  <c r="G60" i="2"/>
  <c r="S70" i="2"/>
  <c r="G50" i="2"/>
  <c r="G51" i="2"/>
  <c r="S71" i="2"/>
  <c r="G52" i="2"/>
  <c r="S72" i="2"/>
  <c r="S73" i="2"/>
  <c r="G53" i="2"/>
  <c r="G54" i="2"/>
  <c r="S74" i="2"/>
  <c r="G55" i="2"/>
  <c r="S75" i="2"/>
  <c r="G56" i="2"/>
  <c r="S76" i="2"/>
  <c r="S66" i="2"/>
  <c r="G46" i="2"/>
  <c r="I46" i="2" s="1"/>
  <c r="U66" i="2"/>
  <c r="V66" i="2" s="1"/>
  <c r="S69" i="2"/>
  <c r="G49" i="2"/>
  <c r="S68" i="2"/>
  <c r="G48" i="2"/>
  <c r="H18" i="9"/>
  <c r="G18" i="9"/>
  <c r="F18" i="9"/>
  <c r="D18" i="9"/>
  <c r="E14" i="9"/>
  <c r="H14" i="9"/>
  <c r="F14" i="9"/>
  <c r="G14" i="9"/>
  <c r="D14" i="9"/>
  <c r="E18" i="9"/>
  <c r="F8" i="1" l="1"/>
  <c r="V28" i="2"/>
  <c r="G6" i="1"/>
  <c r="J46" i="2"/>
  <c r="I6" i="1"/>
  <c r="J66" i="2"/>
  <c r="E8" i="1"/>
  <c r="J28" i="2"/>
  <c r="K28" i="2" s="1"/>
  <c r="E11" i="1"/>
  <c r="J31" i="2"/>
  <c r="K31" i="2" s="1"/>
  <c r="E6" i="1"/>
  <c r="E22" i="1" s="1"/>
  <c r="K26" i="2"/>
  <c r="K37" i="2"/>
  <c r="E17" i="1"/>
  <c r="K39" i="2"/>
  <c r="E19" i="1"/>
  <c r="K34" i="2"/>
  <c r="E14" i="1"/>
  <c r="K38" i="2"/>
  <c r="E18" i="1"/>
  <c r="K40" i="2"/>
  <c r="E20" i="1"/>
  <c r="K35" i="2"/>
  <c r="E15" i="1"/>
  <c r="K36" i="2"/>
  <c r="E16" i="1"/>
  <c r="F6" i="1"/>
  <c r="H6" i="1"/>
  <c r="K29" i="2"/>
  <c r="E9" i="1"/>
  <c r="K30" i="2"/>
  <c r="E10" i="1"/>
  <c r="K33" i="2"/>
  <c r="E13" i="1"/>
  <c r="K32" i="2"/>
  <c r="E12" i="1"/>
  <c r="W26" i="2"/>
  <c r="E6" i="8"/>
  <c r="C14" i="9"/>
  <c r="R31" i="2"/>
  <c r="U31" i="2" s="1"/>
  <c r="R35" i="2"/>
  <c r="U35" i="2" s="1"/>
  <c r="F15" i="1" s="1"/>
  <c r="R36" i="2"/>
  <c r="U36" i="2" s="1"/>
  <c r="F16" i="1" s="1"/>
  <c r="R38" i="2"/>
  <c r="U38" i="2" s="1"/>
  <c r="F18" i="1" s="1"/>
  <c r="E50" i="1"/>
  <c r="I14" i="3"/>
  <c r="F50" i="1" s="1"/>
  <c r="I21" i="3"/>
  <c r="G50" i="1" s="1"/>
  <c r="I28" i="3"/>
  <c r="H50" i="1" s="1"/>
  <c r="I35" i="3"/>
  <c r="I50" i="1" s="1"/>
  <c r="I42" i="3"/>
  <c r="J50" i="1" s="1"/>
  <c r="L61" i="1"/>
  <c r="L49" i="1"/>
  <c r="L48" i="1"/>
  <c r="L46" i="1"/>
  <c r="L45" i="1"/>
  <c r="L44" i="1"/>
  <c r="L43" i="1"/>
  <c r="L31" i="1"/>
  <c r="L30" i="1"/>
  <c r="L27" i="1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4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2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46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F11" i="1" l="1"/>
  <c r="V31" i="2"/>
  <c r="N6" i="8"/>
  <c r="E23" i="8" s="1"/>
  <c r="P6" i="8"/>
  <c r="G23" i="8" s="1"/>
  <c r="N7" i="8"/>
  <c r="R32" i="2"/>
  <c r="R33" i="2"/>
  <c r="R37" i="2"/>
  <c r="R41" i="2"/>
  <c r="U41" i="2" s="1"/>
  <c r="F21" i="1" s="1"/>
  <c r="R40" i="2"/>
  <c r="U40" i="2" s="1"/>
  <c r="F20" i="1" s="1"/>
  <c r="I44" i="3"/>
  <c r="R27" i="2"/>
  <c r="U27" i="2" s="1"/>
  <c r="R29" i="2"/>
  <c r="U29" i="2" s="1"/>
  <c r="L50" i="1"/>
  <c r="F58" i="2"/>
  <c r="I58" i="2" s="1"/>
  <c r="G18" i="1" s="1"/>
  <c r="F56" i="2"/>
  <c r="I56" i="2" s="1"/>
  <c r="G16" i="1" s="1"/>
  <c r="F55" i="2"/>
  <c r="I55" i="2" s="1"/>
  <c r="G15" i="1" s="1"/>
  <c r="F51" i="2"/>
  <c r="I51" i="2" s="1"/>
  <c r="R39" i="2"/>
  <c r="U39" i="2" s="1"/>
  <c r="F19" i="1" s="1"/>
  <c r="R34" i="2"/>
  <c r="U34" i="2" s="1"/>
  <c r="F14" i="1" s="1"/>
  <c r="R30" i="2"/>
  <c r="U30" i="2" s="1"/>
  <c r="F42" i="2"/>
  <c r="G11" i="1" l="1"/>
  <c r="J51" i="2"/>
  <c r="F10" i="1"/>
  <c r="V30" i="2"/>
  <c r="F7" i="1"/>
  <c r="V27" i="2"/>
  <c r="F9" i="1"/>
  <c r="V29" i="2"/>
  <c r="W29" i="2" s="1"/>
  <c r="F57" i="2"/>
  <c r="I57" i="2" s="1"/>
  <c r="G17" i="1" s="1"/>
  <c r="U37" i="2"/>
  <c r="F17" i="1" s="1"/>
  <c r="F53" i="2"/>
  <c r="I53" i="2" s="1"/>
  <c r="J53" i="2" s="1"/>
  <c r="U33" i="2"/>
  <c r="V33" i="2" s="1"/>
  <c r="F52" i="2"/>
  <c r="I52" i="2" s="1"/>
  <c r="J52" i="2" s="1"/>
  <c r="U32" i="2"/>
  <c r="V32" i="2" s="1"/>
  <c r="F47" i="2"/>
  <c r="I47" i="2" s="1"/>
  <c r="E24" i="1"/>
  <c r="E25" i="1" s="1"/>
  <c r="E53" i="1" s="1"/>
  <c r="E55" i="1" s="1"/>
  <c r="W31" i="2"/>
  <c r="W28" i="2"/>
  <c r="W40" i="2"/>
  <c r="W36" i="2"/>
  <c r="W35" i="2"/>
  <c r="W38" i="2"/>
  <c r="L47" i="1"/>
  <c r="F60" i="2"/>
  <c r="I60" i="2" s="1"/>
  <c r="G20" i="1" s="1"/>
  <c r="F61" i="2"/>
  <c r="I61" i="2" s="1"/>
  <c r="G21" i="1" s="1"/>
  <c r="F48" i="2"/>
  <c r="F49" i="2"/>
  <c r="I49" i="2" s="1"/>
  <c r="R56" i="2"/>
  <c r="U56" i="2" s="1"/>
  <c r="H16" i="1" s="1"/>
  <c r="F50" i="2"/>
  <c r="I50" i="2" s="1"/>
  <c r="R55" i="2"/>
  <c r="U55" i="2" s="1"/>
  <c r="H15" i="1" s="1"/>
  <c r="R42" i="2"/>
  <c r="I42" i="2"/>
  <c r="R51" i="2"/>
  <c r="U51" i="2" s="1"/>
  <c r="F54" i="2"/>
  <c r="I54" i="2" s="1"/>
  <c r="G14" i="1" s="1"/>
  <c r="R58" i="2"/>
  <c r="U58" i="2" s="1"/>
  <c r="H18" i="1" s="1"/>
  <c r="F59" i="2"/>
  <c r="I59" i="2" s="1"/>
  <c r="G19" i="1" s="1"/>
  <c r="H11" i="1" l="1"/>
  <c r="V51" i="2"/>
  <c r="G10" i="1"/>
  <c r="J50" i="2"/>
  <c r="G7" i="1"/>
  <c r="J47" i="2"/>
  <c r="G9" i="1"/>
  <c r="J49" i="2"/>
  <c r="R57" i="2"/>
  <c r="U57" i="2" s="1"/>
  <c r="H17" i="1" s="1"/>
  <c r="K57" i="2"/>
  <c r="R53" i="2"/>
  <c r="F73" i="2" s="1"/>
  <c r="G13" i="1"/>
  <c r="K53" i="2"/>
  <c r="F13" i="1"/>
  <c r="W33" i="2"/>
  <c r="R52" i="2"/>
  <c r="U52" i="2" s="1"/>
  <c r="F12" i="1"/>
  <c r="W32" i="2"/>
  <c r="G12" i="1"/>
  <c r="K52" i="2"/>
  <c r="K47" i="2"/>
  <c r="R47" i="2"/>
  <c r="U47" i="2" s="1"/>
  <c r="R48" i="2"/>
  <c r="I48" i="2"/>
  <c r="O6" i="8"/>
  <c r="F23" i="8" s="1"/>
  <c r="O7" i="8"/>
  <c r="W30" i="2"/>
  <c r="W41" i="2"/>
  <c r="W37" i="2"/>
  <c r="W34" i="2"/>
  <c r="W39" i="2"/>
  <c r="R60" i="2"/>
  <c r="K60" i="2"/>
  <c r="K56" i="2"/>
  <c r="K58" i="2"/>
  <c r="W57" i="2"/>
  <c r="K55" i="2"/>
  <c r="K51" i="2"/>
  <c r="R61" i="2"/>
  <c r="U61" i="2" s="1"/>
  <c r="H21" i="1" s="1"/>
  <c r="F62" i="2"/>
  <c r="R49" i="2"/>
  <c r="U49" i="2" s="1"/>
  <c r="J42" i="2"/>
  <c r="F71" i="2"/>
  <c r="R59" i="2"/>
  <c r="U59" i="2" s="1"/>
  <c r="H19" i="1" s="1"/>
  <c r="R50" i="2"/>
  <c r="F78" i="2"/>
  <c r="U42" i="2"/>
  <c r="R54" i="2"/>
  <c r="U54" i="2" s="1"/>
  <c r="H14" i="1" s="1"/>
  <c r="F75" i="2"/>
  <c r="F76" i="2"/>
  <c r="E57" i="1" l="1"/>
  <c r="E59" i="1" s="1"/>
  <c r="E63" i="1" s="1"/>
  <c r="F22" i="1"/>
  <c r="H12" i="1"/>
  <c r="V52" i="2"/>
  <c r="U53" i="2"/>
  <c r="V53" i="2" s="1"/>
  <c r="G8" i="1"/>
  <c r="J48" i="2"/>
  <c r="G24" i="1" s="1"/>
  <c r="H7" i="1"/>
  <c r="V47" i="2"/>
  <c r="H9" i="1"/>
  <c r="V49" i="2"/>
  <c r="F72" i="2"/>
  <c r="I72" i="2" s="1"/>
  <c r="J72" i="2" s="1"/>
  <c r="F77" i="2"/>
  <c r="R77" i="2" s="1"/>
  <c r="U77" i="2" s="1"/>
  <c r="W77" i="2" s="1"/>
  <c r="I78" i="2"/>
  <c r="I18" i="1" s="1"/>
  <c r="R78" i="2"/>
  <c r="U78" i="2" s="1"/>
  <c r="W52" i="2"/>
  <c r="I76" i="2"/>
  <c r="I16" i="1" s="1"/>
  <c r="R76" i="2"/>
  <c r="U76" i="2" s="1"/>
  <c r="I75" i="2"/>
  <c r="I15" i="1" s="1"/>
  <c r="R75" i="2"/>
  <c r="U75" i="2" s="1"/>
  <c r="F80" i="2"/>
  <c r="U60" i="2"/>
  <c r="H20" i="1" s="1"/>
  <c r="H13" i="1"/>
  <c r="W53" i="2"/>
  <c r="R73" i="2"/>
  <c r="U73" i="2" s="1"/>
  <c r="V73" i="2" s="1"/>
  <c r="I73" i="2"/>
  <c r="J73" i="2" s="1"/>
  <c r="F68" i="2"/>
  <c r="I68" i="2" s="1"/>
  <c r="J68" i="2" s="1"/>
  <c r="U48" i="2"/>
  <c r="U50" i="2"/>
  <c r="F70" i="2"/>
  <c r="R71" i="2"/>
  <c r="U71" i="2" s="1"/>
  <c r="V71" i="2" s="1"/>
  <c r="I71" i="2"/>
  <c r="F67" i="2"/>
  <c r="K49" i="2"/>
  <c r="F24" i="1"/>
  <c r="P7" i="8"/>
  <c r="Q7" i="8"/>
  <c r="E24" i="8"/>
  <c r="E43" i="8" s="1"/>
  <c r="E47" i="8" s="1"/>
  <c r="K42" i="2"/>
  <c r="F24" i="8"/>
  <c r="K61" i="2"/>
  <c r="K54" i="2"/>
  <c r="W51" i="2"/>
  <c r="J12" i="1"/>
  <c r="W56" i="2"/>
  <c r="W55" i="2"/>
  <c r="W58" i="2"/>
  <c r="K50" i="2"/>
  <c r="K59" i="2"/>
  <c r="F81" i="2"/>
  <c r="V42" i="2"/>
  <c r="W27" i="2"/>
  <c r="W42" i="2" s="1"/>
  <c r="F69" i="2"/>
  <c r="I69" i="2" s="1"/>
  <c r="J69" i="2" s="1"/>
  <c r="R62" i="2"/>
  <c r="I62" i="2"/>
  <c r="F79" i="2"/>
  <c r="F74" i="2"/>
  <c r="F25" i="1" l="1"/>
  <c r="F53" i="1" s="1"/>
  <c r="J22" i="1"/>
  <c r="G22" i="1"/>
  <c r="G25" i="1" s="1"/>
  <c r="I11" i="1"/>
  <c r="J71" i="2"/>
  <c r="H10" i="1"/>
  <c r="V50" i="2"/>
  <c r="W50" i="2" s="1"/>
  <c r="H8" i="1"/>
  <c r="V48" i="2"/>
  <c r="W48" i="2" s="1"/>
  <c r="I77" i="2"/>
  <c r="I17" i="1" s="1"/>
  <c r="L17" i="1" s="1"/>
  <c r="R72" i="2"/>
  <c r="U72" i="2" s="1"/>
  <c r="K77" i="2"/>
  <c r="K72" i="2"/>
  <c r="I12" i="1"/>
  <c r="L12" i="1" s="1"/>
  <c r="I74" i="2"/>
  <c r="I14" i="1" s="1"/>
  <c r="R74" i="2"/>
  <c r="U74" i="2" s="1"/>
  <c r="K73" i="2"/>
  <c r="I13" i="1"/>
  <c r="L13" i="1" s="1"/>
  <c r="I81" i="2"/>
  <c r="I21" i="1" s="1"/>
  <c r="R81" i="2"/>
  <c r="U81" i="2" s="1"/>
  <c r="I80" i="2"/>
  <c r="I20" i="1" s="1"/>
  <c r="R80" i="2"/>
  <c r="U80" i="2" s="1"/>
  <c r="W80" i="2" s="1"/>
  <c r="I79" i="2"/>
  <c r="I19" i="1" s="1"/>
  <c r="R79" i="2"/>
  <c r="U79" i="2" s="1"/>
  <c r="I9" i="1"/>
  <c r="K68" i="2"/>
  <c r="I8" i="1"/>
  <c r="W73" i="2"/>
  <c r="R68" i="2"/>
  <c r="U68" i="2" s="1"/>
  <c r="V68" i="2" s="1"/>
  <c r="R67" i="2"/>
  <c r="U67" i="2" s="1"/>
  <c r="V67" i="2" s="1"/>
  <c r="I67" i="2"/>
  <c r="J67" i="2" s="1"/>
  <c r="K48" i="2"/>
  <c r="I70" i="2"/>
  <c r="J70" i="2" s="1"/>
  <c r="R70" i="2"/>
  <c r="U70" i="2" s="1"/>
  <c r="V70" i="2" s="1"/>
  <c r="K71" i="2"/>
  <c r="W71" i="2"/>
  <c r="R69" i="2"/>
  <c r="U69" i="2" s="1"/>
  <c r="V69" i="2" s="1"/>
  <c r="Q6" i="8"/>
  <c r="H23" i="8" s="1"/>
  <c r="R7" i="8"/>
  <c r="S7" i="8"/>
  <c r="E65" i="1"/>
  <c r="F43" i="8"/>
  <c r="F47" i="8" s="1"/>
  <c r="W60" i="2"/>
  <c r="K75" i="2"/>
  <c r="W78" i="2"/>
  <c r="W61" i="2"/>
  <c r="K76" i="2"/>
  <c r="K78" i="2"/>
  <c r="W54" i="2"/>
  <c r="W76" i="2"/>
  <c r="W59" i="2"/>
  <c r="W75" i="2"/>
  <c r="F82" i="2"/>
  <c r="W47" i="2"/>
  <c r="J62" i="2"/>
  <c r="K46" i="2"/>
  <c r="U62" i="2"/>
  <c r="W46" i="2"/>
  <c r="F55" i="1" l="1"/>
  <c r="F57" i="1" s="1"/>
  <c r="H22" i="1"/>
  <c r="V72" i="2"/>
  <c r="W72" i="2" s="1"/>
  <c r="K80" i="2"/>
  <c r="K70" i="2"/>
  <c r="I10" i="1"/>
  <c r="K67" i="2"/>
  <c r="I7" i="1"/>
  <c r="W68" i="2"/>
  <c r="K62" i="2"/>
  <c r="H24" i="1"/>
  <c r="V62" i="2"/>
  <c r="W69" i="2"/>
  <c r="L7" i="8"/>
  <c r="F65" i="1"/>
  <c r="L8" i="1"/>
  <c r="G53" i="1"/>
  <c r="L20" i="1"/>
  <c r="L11" i="1"/>
  <c r="L15" i="1"/>
  <c r="L16" i="1"/>
  <c r="K79" i="2"/>
  <c r="W74" i="2"/>
  <c r="W49" i="2"/>
  <c r="W62" i="2" s="1"/>
  <c r="W81" i="2"/>
  <c r="L18" i="1"/>
  <c r="K74" i="2"/>
  <c r="W79" i="2"/>
  <c r="W67" i="2"/>
  <c r="W70" i="2"/>
  <c r="K81" i="2"/>
  <c r="I82" i="2"/>
  <c r="R82" i="2"/>
  <c r="U82" i="2"/>
  <c r="G55" i="1" l="1"/>
  <c r="G57" i="1" s="1"/>
  <c r="H25" i="1"/>
  <c r="H53" i="1" s="1"/>
  <c r="I22" i="1"/>
  <c r="L7" i="1"/>
  <c r="F59" i="1"/>
  <c r="F63" i="1" s="1"/>
  <c r="I24" i="1"/>
  <c r="R6" i="8"/>
  <c r="I23" i="8" s="1"/>
  <c r="S6" i="8"/>
  <c r="J23" i="8" s="1"/>
  <c r="J24" i="1"/>
  <c r="J25" i="1" s="1"/>
  <c r="L6" i="8"/>
  <c r="K66" i="2"/>
  <c r="L9" i="1"/>
  <c r="L6" i="1"/>
  <c r="G24" i="8"/>
  <c r="H24" i="8"/>
  <c r="J82" i="2"/>
  <c r="L14" i="1"/>
  <c r="L21" i="1"/>
  <c r="L19" i="1"/>
  <c r="L10" i="1"/>
  <c r="K69" i="2"/>
  <c r="V82" i="2"/>
  <c r="W66" i="2"/>
  <c r="W82" i="2" s="1"/>
  <c r="H55" i="1" l="1"/>
  <c r="H57" i="1" s="1"/>
  <c r="I25" i="1"/>
  <c r="L22" i="1"/>
  <c r="G59" i="1"/>
  <c r="G63" i="1" s="1"/>
  <c r="K82" i="2"/>
  <c r="H43" i="8"/>
  <c r="H47" i="8" s="1"/>
  <c r="H65" i="1" s="1"/>
  <c r="J53" i="1"/>
  <c r="J24" i="8"/>
  <c r="I53" i="1"/>
  <c r="I24" i="8"/>
  <c r="G43" i="8"/>
  <c r="G47" i="8" s="1"/>
  <c r="L24" i="1"/>
  <c r="I55" i="1" l="1"/>
  <c r="I57" i="1" s="1"/>
  <c r="J55" i="1"/>
  <c r="J57" i="1" s="1"/>
  <c r="G65" i="1"/>
  <c r="I43" i="8"/>
  <c r="I47" i="8" s="1"/>
  <c r="I65" i="1" s="1"/>
  <c r="J43" i="8"/>
  <c r="J47" i="8" s="1"/>
  <c r="J65" i="1" s="1"/>
  <c r="L25" i="1"/>
  <c r="L24" i="8"/>
  <c r="L23" i="8"/>
  <c r="H59" i="1"/>
  <c r="H63" i="1" s="1"/>
  <c r="L57" i="1" l="1"/>
  <c r="I59" i="1"/>
  <c r="I63" i="1" s="1"/>
  <c r="L47" i="8"/>
  <c r="L65" i="1"/>
  <c r="L43" i="8"/>
  <c r="L53" i="1"/>
  <c r="L55" i="1"/>
  <c r="J59" i="1"/>
  <c r="J63" i="1" s="1"/>
  <c r="L63" i="1" l="1"/>
  <c r="L59" i="1"/>
</calcChain>
</file>

<file path=xl/sharedStrings.xml><?xml version="1.0" encoding="utf-8"?>
<sst xmlns="http://schemas.openxmlformats.org/spreadsheetml/2006/main" count="648" uniqueCount="214">
  <si>
    <t>C. Fringe Benefits</t>
  </si>
  <si>
    <t>D. Equipment</t>
  </si>
  <si>
    <t>E. Travel</t>
  </si>
  <si>
    <t xml:space="preserve"> </t>
  </si>
  <si>
    <t>Year 1</t>
  </si>
  <si>
    <t>Year 2</t>
  </si>
  <si>
    <t>1. Domestic</t>
  </si>
  <si>
    <t>2. Foreign</t>
  </si>
  <si>
    <t>F. Participant Support Costs</t>
  </si>
  <si>
    <t>G. Other Direct Costs</t>
  </si>
  <si>
    <t>1. Materials and Supplies</t>
  </si>
  <si>
    <t>2. Publication Costs</t>
  </si>
  <si>
    <t>3. Consultant Services</t>
  </si>
  <si>
    <t>4. Computer Services</t>
  </si>
  <si>
    <t>5. Subawards</t>
  </si>
  <si>
    <t>6. Other</t>
  </si>
  <si>
    <t>H. Total Direct Costs (A through G)</t>
  </si>
  <si>
    <t>J. Total Direct and Indirect (H+I)</t>
  </si>
  <si>
    <t>K. Residual Funds</t>
  </si>
  <si>
    <t>L. Amount of This Request (J-K)</t>
  </si>
  <si>
    <t>M. Cost Sharing</t>
  </si>
  <si>
    <t>TOTAL</t>
  </si>
  <si>
    <t>Fringe</t>
  </si>
  <si>
    <t xml:space="preserve">Year 3  </t>
  </si>
  <si>
    <t>TOTAL MTDC</t>
  </si>
  <si>
    <t>Total Salary, Wages, and Fringe</t>
  </si>
  <si>
    <t>Fringe Benefits ($)</t>
  </si>
  <si>
    <t>Funds Requested ($)</t>
  </si>
  <si>
    <t>Name</t>
  </si>
  <si>
    <t>Project Role</t>
  </si>
  <si>
    <t>Base Salary  ($)</t>
  </si>
  <si>
    <t>Requested Salary ($)</t>
  </si>
  <si>
    <t>Effort (%)</t>
  </si>
  <si>
    <t>1.</t>
  </si>
  <si>
    <t>2.</t>
  </si>
  <si>
    <t>3.</t>
  </si>
  <si>
    <t>4.</t>
  </si>
  <si>
    <t>5.</t>
  </si>
  <si>
    <t>6.</t>
  </si>
  <si>
    <t>7.</t>
  </si>
  <si>
    <t>8.</t>
  </si>
  <si>
    <t>YEAR 2</t>
  </si>
  <si>
    <t>YEAR 4</t>
  </si>
  <si>
    <t>YEAR 3</t>
  </si>
  <si>
    <t>YEAR 5</t>
  </si>
  <si>
    <t>YEAR 1</t>
  </si>
  <si>
    <t>Salary Cap:</t>
  </si>
  <si>
    <t>Year 4</t>
  </si>
  <si>
    <t>Year 5</t>
  </si>
  <si>
    <t>Tuition</t>
  </si>
  <si>
    <t>In State</t>
  </si>
  <si>
    <t>Out of State</t>
  </si>
  <si>
    <t>Year 3</t>
  </si>
  <si>
    <t># of In-State Students</t>
  </si>
  <si>
    <t># of Out of State Students</t>
  </si>
  <si>
    <t>TOTAL FOR YEAR 1</t>
  </si>
  <si>
    <t>TOTAL FOR YEAR 2</t>
  </si>
  <si>
    <t>TOTAL FOR YEAR 3</t>
  </si>
  <si>
    <t>TOTAL FOR YEAR 4</t>
  </si>
  <si>
    <t>TOTAL FOR YEAR 5</t>
  </si>
  <si>
    <t>TOTAL TUITION REQUESTED</t>
  </si>
  <si>
    <t>Tuition Inflation Rate</t>
  </si>
  <si>
    <t>Sub Direct Cost</t>
  </si>
  <si>
    <t>Sub Total Cost</t>
  </si>
  <si>
    <t>Total MTDC</t>
  </si>
  <si>
    <t>Direct Cost</t>
  </si>
  <si>
    <t>Total Cost</t>
  </si>
  <si>
    <t>MTDC</t>
  </si>
  <si>
    <t>Total</t>
  </si>
  <si>
    <t>Sub</t>
  </si>
  <si>
    <t>Indirect Cost</t>
  </si>
  <si>
    <t>I. Indirect Costs (F&amp;A)</t>
  </si>
  <si>
    <t>Number of Years in Proposal</t>
  </si>
  <si>
    <t>Apply Inflation to Year 1?</t>
  </si>
  <si>
    <t xml:space="preserve">Total In State Credit Hours Per Student </t>
  </si>
  <si>
    <t>Total Out of State Credit Hours Per Student</t>
  </si>
  <si>
    <t>Fringe Rate</t>
  </si>
  <si>
    <t>TOTALS:</t>
  </si>
  <si>
    <t>9.</t>
  </si>
  <si>
    <t>10.</t>
  </si>
  <si>
    <t>11.</t>
  </si>
  <si>
    <t>12.</t>
  </si>
  <si>
    <t>13.</t>
  </si>
  <si>
    <t>14.</t>
  </si>
  <si>
    <t>15.</t>
  </si>
  <si>
    <t>16.</t>
  </si>
  <si>
    <t>Name of Personnel</t>
  </si>
  <si>
    <t>Enter Annual Raise Percentage</t>
  </si>
  <si>
    <t>Indirect Cost Rate</t>
  </si>
  <si>
    <t>Uncheck Box To Omit From This Year</t>
  </si>
  <si>
    <t>PI Name</t>
  </si>
  <si>
    <t>Project Name</t>
  </si>
  <si>
    <t>Apply Raise in Year 1?</t>
  </si>
  <si>
    <t>Calendar Months Desired</t>
  </si>
  <si>
    <t>Period of Performance</t>
  </si>
  <si>
    <t>Sponsor/Solicitation Number</t>
  </si>
  <si>
    <t>YEAR 6</t>
  </si>
  <si>
    <t>Year 6</t>
  </si>
  <si>
    <t>TOTAL FOR YEAR 6</t>
  </si>
  <si>
    <t>University of South Florida                                                                                                                   College of Arts and Sciences, Office of Research And Scholarship</t>
  </si>
  <si>
    <t>Total Award</t>
  </si>
  <si>
    <t>% Change</t>
  </si>
  <si>
    <t>$ Change</t>
  </si>
  <si>
    <t>Award Amount</t>
  </si>
  <si>
    <t>F&amp;A Rate</t>
  </si>
  <si>
    <t>F&amp;A Costs</t>
  </si>
  <si>
    <t>Non F&amp;A</t>
  </si>
  <si>
    <t>Spring</t>
  </si>
  <si>
    <t>Reference</t>
  </si>
  <si>
    <t>Fringe Rates</t>
  </si>
  <si>
    <t>PI</t>
  </si>
  <si>
    <t>Co-PI</t>
  </si>
  <si>
    <t>Co-Investigator</t>
  </si>
  <si>
    <t>Faculty</t>
  </si>
  <si>
    <t>Other (specify)</t>
  </si>
  <si>
    <t>Prefix</t>
  </si>
  <si>
    <t>Dr.</t>
  </si>
  <si>
    <t>Miss</t>
  </si>
  <si>
    <t>Ms.</t>
  </si>
  <si>
    <t>Mr.</t>
  </si>
  <si>
    <t>Mrs.</t>
  </si>
  <si>
    <t>Rev.</t>
  </si>
  <si>
    <t>Suffix</t>
  </si>
  <si>
    <t>MD</t>
  </si>
  <si>
    <t>PhD</t>
  </si>
  <si>
    <t>JD</t>
  </si>
  <si>
    <t>Jr.</t>
  </si>
  <si>
    <t>Sr.</t>
  </si>
  <si>
    <t>None</t>
  </si>
  <si>
    <t>Graduate In-State</t>
  </si>
  <si>
    <t>Graduate Out-of-State</t>
  </si>
  <si>
    <t>Select 9 or 12 Month Appointment to Base Salary</t>
  </si>
  <si>
    <t>Effort Calculator</t>
  </si>
  <si>
    <t>Select 9 Or 12 Month Appointment</t>
  </si>
  <si>
    <t>% Effort Needed</t>
  </si>
  <si>
    <t>n</t>
  </si>
  <si>
    <t>Personnel (A Senior, B Other)</t>
  </si>
  <si>
    <t>7. Non F&amp;A Other (USF only)</t>
  </si>
  <si>
    <t>8. Tuition (USF only)</t>
  </si>
  <si>
    <t>9 to 12 mo conversion</t>
  </si>
  <si>
    <t>9 mo salary</t>
  </si>
  <si>
    <t>12 mo salary</t>
  </si>
  <si>
    <t>Fall</t>
  </si>
  <si>
    <t>Summer</t>
  </si>
  <si>
    <t>NSF Senior Personnel: no more than two months of their regular salary in any one year</t>
  </si>
  <si>
    <t>NIH based on 12 months, need to convert 9 mo faculty</t>
  </si>
  <si>
    <t>Standard Credit Hours for Graduate Students</t>
  </si>
  <si>
    <t>Year</t>
  </si>
  <si>
    <t>Semester of graduation</t>
  </si>
  <si>
    <t>% FTE required for buy-out</t>
  </si>
  <si>
    <t>Course Buy out?</t>
  </si>
  <si>
    <t>Base</t>
  </si>
  <si>
    <t>$ required for buy-out</t>
  </si>
  <si>
    <t>%</t>
  </si>
  <si>
    <t>$</t>
  </si>
  <si>
    <t># Courses</t>
  </si>
  <si>
    <t>Cost</t>
  </si>
  <si>
    <t>Unrecovered F&amp;A</t>
  </si>
  <si>
    <t>Amount of This Request</t>
  </si>
  <si>
    <t>Cost Share</t>
  </si>
  <si>
    <t>Fall Salary</t>
  </si>
  <si>
    <t>Spring Salary</t>
  </si>
  <si>
    <t>USF EMPLOYEE - Faculty</t>
  </si>
  <si>
    <t>USF EMPLOYEE - Admin/Exec</t>
  </si>
  <si>
    <t>USF EMPLOYEE - Staff</t>
  </si>
  <si>
    <t xml:space="preserve">OPS Other/ OPS Student </t>
  </si>
  <si>
    <r>
      <t xml:space="preserve">OPS Faculty </t>
    </r>
    <r>
      <rPr>
        <b/>
        <sz val="8"/>
        <color rgb="FF800080"/>
        <rFont val="Calibri"/>
        <family val="2"/>
        <scheme val="minor"/>
      </rPr>
      <t>(Adjuncts/ Medical Resident/Housing Staff)</t>
    </r>
  </si>
  <si>
    <t>POSTDOC</t>
  </si>
  <si>
    <t>USF Graduate Assistant</t>
  </si>
  <si>
    <t>%Effort</t>
  </si>
  <si>
    <t>Enter Cal Months Desired</t>
  </si>
  <si>
    <t>Number of Participants</t>
  </si>
  <si>
    <t>1. Stipends</t>
  </si>
  <si>
    <t>2. Travel</t>
  </si>
  <si>
    <t>3. Subsistence</t>
  </si>
  <si>
    <t>4. Other</t>
  </si>
  <si>
    <t>Total Participant Support Costs</t>
  </si>
  <si>
    <t>y</t>
  </si>
  <si>
    <t>Enter Year 1 Start Date Below</t>
  </si>
  <si>
    <t>Directions for Course Buyout Tool</t>
  </si>
  <si>
    <t>1)</t>
  </si>
  <si>
    <t>Personnel must be listed on the Salary Worksheet prior to using this tool</t>
  </si>
  <si>
    <t>All default values in cells B1:B3 must be 0 for the tool to work properly, a blank cell is not 0</t>
  </si>
  <si>
    <t>Enter either the %FTE OR a specific dollar amount required for buy-out</t>
  </si>
  <si>
    <t>2)</t>
  </si>
  <si>
    <t>3)</t>
  </si>
  <si>
    <t>4)</t>
  </si>
  <si>
    <t>5)</t>
  </si>
  <si>
    <t>Enter Annual Fringe Increment</t>
  </si>
  <si>
    <t>FY2024</t>
  </si>
  <si>
    <t>Administrative/Executive</t>
  </si>
  <si>
    <t>Staff</t>
  </si>
  <si>
    <t>OPS Other/OPS Student</t>
  </si>
  <si>
    <t>OPS Grad/PhD/Post Doc/Fellowships</t>
  </si>
  <si>
    <t>OPS Faculty (Adjunct, Medical Resident, Housing Staff)</t>
  </si>
  <si>
    <t>Bonuses</t>
  </si>
  <si>
    <t>Insurance - Fringe Benefit Insurance w/3% inflation</t>
  </si>
  <si>
    <t>Updated Formulas on Main Page to not include buyout for more years than project period</t>
  </si>
  <si>
    <t>User</t>
  </si>
  <si>
    <t>normanj</t>
  </si>
  <si>
    <t>Updated Salary Worksheet to include annual fringe increase</t>
  </si>
  <si>
    <t>Note: The # of courses cell triggers the formula to calculate using the data provided in cells B1:B3. If you are buying out more than 1 course, increase your required buyout amount or FTE</t>
  </si>
  <si>
    <t>Enter any annual pay increase in cell B1</t>
  </si>
  <si>
    <t>Annual Pay Increase Percent</t>
  </si>
  <si>
    <t>Annual Fringe Increase Percent</t>
  </si>
  <si>
    <t>Updated Course Buyout to include annual fringe increase</t>
  </si>
  <si>
    <t>Updated Course Buyout formulas and provided instructions</t>
  </si>
  <si>
    <t>Enter any annual fringe increase in cell B2</t>
  </si>
  <si>
    <t>6)</t>
  </si>
  <si>
    <t>Recreated Subcontract Worksheet b/c prior sheet's password was lost</t>
  </si>
  <si>
    <t>Total Personnel Salary</t>
  </si>
  <si>
    <t>Total Travel</t>
  </si>
  <si>
    <t>Total Other Direct Costs</t>
  </si>
  <si>
    <t>Updated Main Page to calculate totals based on summing the category subtotals. Prior method was sum all then subtract 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</si>
</sst>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%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1"/>
    </font>
    <font>
      <sz val="9"/>
      <name val="Geneva"/>
      <family val="2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Arial Unicode MS"/>
      <family val="2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indexed="2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color indexed="16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80008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142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8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auto="1"/>
      </bottom>
      <diagonal/>
    </border>
    <border>
      <left style="thick">
        <color theme="4" tint="-0.499984740745262"/>
      </left>
      <right style="thick">
        <color auto="1"/>
      </right>
      <top style="thick">
        <color auto="1"/>
      </top>
      <bottom style="thick">
        <color theme="4" tint="-0.49998474074526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165" fontId="7" fillId="0" borderId="0"/>
    <xf numFmtId="0" fontId="8" fillId="0" borderId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0" fillId="3" borderId="0" xfId="0" applyFill="1"/>
    <xf numFmtId="0" fontId="2" fillId="3" borderId="0" xfId="0" applyFont="1" applyFill="1"/>
    <xf numFmtId="164" fontId="2" fillId="0" borderId="0" xfId="0" applyNumberFormat="1" applyFont="1"/>
    <xf numFmtId="9" fontId="0" fillId="4" borderId="10" xfId="0" applyNumberFormat="1" applyFill="1" applyBorder="1" applyProtection="1">
      <protection locked="0"/>
    </xf>
    <xf numFmtId="49" fontId="0" fillId="4" borderId="10" xfId="0" applyNumberFormat="1" applyFill="1" applyBorder="1" applyProtection="1">
      <protection locked="0"/>
    </xf>
    <xf numFmtId="0" fontId="1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6" applyFont="1" applyFill="1" applyBorder="1" applyAlignment="1" applyProtection="1"/>
    <xf numFmtId="166" fontId="0" fillId="0" borderId="0" xfId="0" applyNumberFormat="1"/>
    <xf numFmtId="164" fontId="0" fillId="0" borderId="0" xfId="0" applyNumberFormat="1"/>
    <xf numFmtId="0" fontId="0" fillId="0" borderId="33" xfId="0" applyBorder="1"/>
    <xf numFmtId="0" fontId="0" fillId="0" borderId="37" xfId="0" applyBorder="1"/>
    <xf numFmtId="164" fontId="1" fillId="0" borderId="38" xfId="0" applyNumberFormat="1" applyFont="1" applyBorder="1"/>
    <xf numFmtId="0" fontId="9" fillId="8" borderId="0" xfId="0" applyFont="1" applyFill="1"/>
    <xf numFmtId="10" fontId="0" fillId="0" borderId="0" xfId="0" applyNumberFormat="1"/>
    <xf numFmtId="0" fontId="5" fillId="0" borderId="9" xfId="0" applyFont="1" applyBorder="1"/>
    <xf numFmtId="0" fontId="18" fillId="0" borderId="0" xfId="0" applyFont="1"/>
    <xf numFmtId="0" fontId="5" fillId="10" borderId="0" xfId="0" applyFont="1" applyFill="1"/>
    <xf numFmtId="0" fontId="5" fillId="10" borderId="9" xfId="0" applyFont="1" applyFill="1" applyBorder="1"/>
    <xf numFmtId="3" fontId="0" fillId="4" borderId="0" xfId="0" applyNumberFormat="1" applyFill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5" fillId="0" borderId="0" xfId="0" applyFont="1"/>
    <xf numFmtId="0" fontId="21" fillId="0" borderId="0" xfId="0" applyFont="1" applyAlignment="1">
      <alignment horizontal="left"/>
    </xf>
    <xf numFmtId="10" fontId="21" fillId="0" borderId="0" xfId="1" applyNumberFormat="1" applyFont="1" applyProtection="1"/>
    <xf numFmtId="0" fontId="22" fillId="0" borderId="0" xfId="0" applyFont="1"/>
    <xf numFmtId="0" fontId="23" fillId="0" borderId="0" xfId="0" applyFont="1" applyAlignment="1">
      <alignment horizontal="left" wrapText="1"/>
    </xf>
    <xf numFmtId="10" fontId="22" fillId="0" borderId="0" xfId="1" applyNumberFormat="1" applyFont="1" applyProtection="1"/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9" fontId="5" fillId="0" borderId="0" xfId="0" applyNumberFormat="1" applyFont="1"/>
    <xf numFmtId="0" fontId="0" fillId="0" borderId="0" xfId="0" applyAlignment="1">
      <alignment horizontal="left"/>
    </xf>
    <xf numFmtId="0" fontId="25" fillId="0" borderId="0" xfId="0" applyFont="1"/>
    <xf numFmtId="14" fontId="0" fillId="0" borderId="0" xfId="0" applyNumberFormat="1"/>
    <xf numFmtId="0" fontId="1" fillId="11" borderId="1" xfId="0" applyFont="1" applyFill="1" applyBorder="1"/>
    <xf numFmtId="0" fontId="2" fillId="0" borderId="41" xfId="0" applyFont="1" applyBorder="1" applyAlignment="1">
      <alignment wrapText="1"/>
    </xf>
    <xf numFmtId="0" fontId="2" fillId="0" borderId="41" xfId="0" applyFont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10" fillId="4" borderId="35" xfId="0" applyFont="1" applyFill="1" applyBorder="1" applyProtection="1">
      <protection locked="0"/>
    </xf>
    <xf numFmtId="0" fontId="10" fillId="4" borderId="36" xfId="0" applyFont="1" applyFill="1" applyBorder="1" applyProtection="1">
      <protection locked="0"/>
    </xf>
    <xf numFmtId="0" fontId="0" fillId="4" borderId="36" xfId="0" applyFill="1" applyBorder="1" applyProtection="1">
      <protection locked="0"/>
    </xf>
    <xf numFmtId="3" fontId="2" fillId="0" borderId="0" xfId="0" applyNumberFormat="1" applyFont="1"/>
    <xf numFmtId="3" fontId="1" fillId="0" borderId="0" xfId="0" applyNumberFormat="1" applyFont="1"/>
    <xf numFmtId="0" fontId="2" fillId="0" borderId="29" xfId="0" applyFont="1" applyBorder="1"/>
    <xf numFmtId="0" fontId="2" fillId="0" borderId="30" xfId="0" applyFont="1" applyBorder="1"/>
    <xf numFmtId="0" fontId="0" fillId="0" borderId="30" xfId="0" applyBorder="1"/>
    <xf numFmtId="0" fontId="0" fillId="0" borderId="31" xfId="0" applyBorder="1"/>
    <xf numFmtId="0" fontId="16" fillId="13" borderId="0" xfId="0" applyFont="1" applyFill="1"/>
    <xf numFmtId="0" fontId="16" fillId="13" borderId="20" xfId="0" applyFont="1" applyFill="1" applyBorder="1"/>
    <xf numFmtId="0" fontId="16" fillId="13" borderId="2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7" borderId="0" xfId="0" applyFill="1"/>
    <xf numFmtId="0" fontId="0" fillId="4" borderId="42" xfId="0" applyFill="1" applyBorder="1" applyProtection="1">
      <protection locked="0"/>
    </xf>
    <xf numFmtId="0" fontId="0" fillId="7" borderId="11" xfId="0" applyFill="1" applyBorder="1"/>
    <xf numFmtId="0" fontId="0" fillId="7" borderId="43" xfId="0" applyFill="1" applyBorder="1"/>
    <xf numFmtId="0" fontId="0" fillId="0" borderId="1" xfId="0" applyBorder="1" applyAlignment="1">
      <alignment wrapText="1"/>
    </xf>
    <xf numFmtId="0" fontId="11" fillId="0" borderId="0" xfId="6" applyFill="1" applyBorder="1" applyAlignment="1" applyProtection="1"/>
    <xf numFmtId="0" fontId="0" fillId="0" borderId="5" xfId="0" applyBorder="1"/>
    <xf numFmtId="0" fontId="10" fillId="0" borderId="0" xfId="0" applyFont="1"/>
    <xf numFmtId="165" fontId="30" fillId="0" borderId="0" xfId="2" applyFont="1" applyAlignment="1">
      <alignment horizontal="center" wrapText="1"/>
    </xf>
    <xf numFmtId="165" fontId="31" fillId="0" borderId="0" xfId="2" applyFont="1" applyAlignment="1">
      <alignment horizontal="center" wrapText="1"/>
    </xf>
    <xf numFmtId="165" fontId="33" fillId="0" borderId="0" xfId="2" applyFont="1" applyAlignment="1">
      <alignment horizontal="center" wrapText="1"/>
    </xf>
    <xf numFmtId="165" fontId="34" fillId="0" borderId="0" xfId="2" applyFont="1" applyAlignment="1">
      <alignment horizontal="center" wrapText="1"/>
    </xf>
    <xf numFmtId="165" fontId="17" fillId="0" borderId="0" xfId="2" applyFont="1" applyAlignment="1">
      <alignment horizontal="center" wrapText="1"/>
    </xf>
    <xf numFmtId="165" fontId="35" fillId="0" borderId="0" xfId="2" applyFont="1" applyAlignment="1">
      <alignment vertical="top"/>
    </xf>
    <xf numFmtId="165" fontId="27" fillId="0" borderId="0" xfId="2" applyFont="1" applyAlignment="1">
      <alignment horizontal="center" wrapText="1"/>
    </xf>
    <xf numFmtId="165" fontId="16" fillId="0" borderId="0" xfId="2" applyFont="1" applyAlignment="1">
      <alignment vertical="top"/>
    </xf>
    <xf numFmtId="0" fontId="10" fillId="7" borderId="0" xfId="0" applyFont="1" applyFill="1"/>
    <xf numFmtId="165" fontId="36" fillId="0" borderId="1" xfId="2" applyFont="1" applyBorder="1" applyAlignment="1">
      <alignment horizontal="center" wrapText="1"/>
    </xf>
    <xf numFmtId="165" fontId="37" fillId="0" borderId="1" xfId="2" applyFont="1" applyBorder="1" applyAlignment="1">
      <alignment horizontal="center" wrapText="1"/>
    </xf>
    <xf numFmtId="165" fontId="39" fillId="0" borderId="1" xfId="2" applyFont="1" applyBorder="1" applyAlignment="1">
      <alignment horizontal="center" wrapText="1"/>
    </xf>
    <xf numFmtId="165" fontId="40" fillId="0" borderId="1" xfId="2" applyFont="1" applyBorder="1" applyAlignment="1">
      <alignment horizontal="center" wrapText="1"/>
    </xf>
    <xf numFmtId="165" fontId="17" fillId="0" borderId="0" xfId="2" applyFont="1" applyAlignment="1">
      <alignment wrapText="1"/>
    </xf>
    <xf numFmtId="165" fontId="10" fillId="0" borderId="0" xfId="2" applyFont="1" applyAlignment="1">
      <alignment wrapText="1"/>
    </xf>
    <xf numFmtId="165" fontId="14" fillId="0" borderId="0" xfId="2" applyFont="1" applyAlignment="1">
      <alignment horizontal="center" wrapText="1"/>
    </xf>
    <xf numFmtId="165" fontId="14" fillId="0" borderId="0" xfId="2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wrapText="1"/>
    </xf>
    <xf numFmtId="10" fontId="14" fillId="0" borderId="0" xfId="2" applyNumberFormat="1" applyFont="1" applyAlignment="1">
      <alignment horizontal="center"/>
    </xf>
    <xf numFmtId="10" fontId="14" fillId="0" borderId="0" xfId="2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right"/>
    </xf>
    <xf numFmtId="5" fontId="10" fillId="0" borderId="0" xfId="0" applyNumberFormat="1" applyFont="1"/>
    <xf numFmtId="0" fontId="17" fillId="0" borderId="0" xfId="0" applyFont="1" applyAlignment="1">
      <alignment wrapText="1"/>
    </xf>
    <xf numFmtId="0" fontId="41" fillId="0" borderId="0" xfId="0" applyFont="1" applyAlignment="1">
      <alignment horizontal="center"/>
    </xf>
    <xf numFmtId="165" fontId="36" fillId="0" borderId="2" xfId="2" applyFont="1" applyBorder="1" applyAlignment="1">
      <alignment horizontal="center" wrapText="1"/>
    </xf>
    <xf numFmtId="165" fontId="42" fillId="0" borderId="18" xfId="2" applyFont="1" applyBorder="1" applyAlignment="1">
      <alignment horizontal="center" wrapText="1"/>
    </xf>
    <xf numFmtId="165" fontId="39" fillId="0" borderId="18" xfId="2" applyFont="1" applyBorder="1" applyAlignment="1">
      <alignment horizontal="center" wrapText="1"/>
    </xf>
    <xf numFmtId="165" fontId="42" fillId="0" borderId="3" xfId="2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165" fontId="30" fillId="0" borderId="1" xfId="2" applyFont="1" applyBorder="1" applyAlignment="1">
      <alignment horizontal="center" wrapText="1"/>
    </xf>
    <xf numFmtId="165" fontId="31" fillId="0" borderId="1" xfId="2" applyFont="1" applyBorder="1" applyAlignment="1">
      <alignment horizontal="center" wrapText="1"/>
    </xf>
    <xf numFmtId="165" fontId="33" fillId="0" borderId="1" xfId="2" applyFont="1" applyBorder="1" applyAlignment="1">
      <alignment horizontal="center" wrapText="1"/>
    </xf>
    <xf numFmtId="49" fontId="10" fillId="7" borderId="1" xfId="0" applyNumberFormat="1" applyFont="1" applyFill="1" applyBorder="1" applyAlignment="1">
      <alignment horizontal="right"/>
    </xf>
    <xf numFmtId="2" fontId="10" fillId="4" borderId="1" xfId="0" applyNumberFormat="1" applyFont="1" applyFill="1" applyBorder="1" applyAlignment="1" applyProtection="1">
      <alignment horizontal="right"/>
      <protection locked="0"/>
    </xf>
    <xf numFmtId="9" fontId="10" fillId="4" borderId="1" xfId="0" applyNumberFormat="1" applyFont="1" applyFill="1" applyBorder="1" applyAlignment="1" applyProtection="1">
      <alignment horizontal="right"/>
      <protection locked="0"/>
    </xf>
    <xf numFmtId="5" fontId="44" fillId="4" borderId="12" xfId="2" applyNumberFormat="1" applyFont="1" applyFill="1" applyBorder="1" applyProtection="1">
      <protection locked="0"/>
    </xf>
    <xf numFmtId="5" fontId="31" fillId="4" borderId="12" xfId="2" applyNumberFormat="1" applyFont="1" applyFill="1" applyBorder="1" applyProtection="1">
      <protection locked="0"/>
    </xf>
    <xf numFmtId="5" fontId="33" fillId="4" borderId="14" xfId="2" applyNumberFormat="1" applyFont="1" applyFill="1" applyBorder="1" applyProtection="1">
      <protection locked="0"/>
    </xf>
    <xf numFmtId="49" fontId="10" fillId="6" borderId="1" xfId="0" applyNumberFormat="1" applyFont="1" applyFill="1" applyBorder="1" applyAlignment="1">
      <alignment horizontal="right"/>
    </xf>
    <xf numFmtId="5" fontId="31" fillId="4" borderId="3" xfId="2" applyNumberFormat="1" applyFont="1" applyFill="1" applyBorder="1" applyProtection="1">
      <protection locked="0"/>
    </xf>
    <xf numFmtId="5" fontId="33" fillId="4" borderId="1" xfId="2" applyNumberFormat="1" applyFont="1" applyFill="1" applyBorder="1" applyProtection="1">
      <protection locked="0"/>
    </xf>
    <xf numFmtId="5" fontId="33" fillId="4" borderId="1" xfId="0" applyNumberFormat="1" applyFont="1" applyFill="1" applyBorder="1" applyProtection="1">
      <protection locked="0"/>
    </xf>
    <xf numFmtId="0" fontId="17" fillId="0" borderId="6" xfId="0" applyFont="1" applyBorder="1" applyAlignment="1">
      <alignment horizontal="center" wrapText="1"/>
    </xf>
    <xf numFmtId="0" fontId="0" fillId="4" borderId="18" xfId="0" applyFill="1" applyBorder="1" applyProtection="1">
      <protection locked="0"/>
    </xf>
    <xf numFmtId="49" fontId="10" fillId="7" borderId="3" xfId="0" applyNumberFormat="1" applyFont="1" applyFill="1" applyBorder="1" applyAlignment="1">
      <alignment horizontal="right"/>
    </xf>
    <xf numFmtId="49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5" fontId="10" fillId="0" borderId="1" xfId="0" applyNumberFormat="1" applyFont="1" applyBorder="1"/>
    <xf numFmtId="5" fontId="10" fillId="0" borderId="8" xfId="0" applyNumberFormat="1" applyFont="1" applyBorder="1"/>
    <xf numFmtId="5" fontId="10" fillId="4" borderId="1" xfId="0" applyNumberFormat="1" applyFont="1" applyFill="1" applyBorder="1" applyProtection="1">
      <protection locked="0"/>
    </xf>
    <xf numFmtId="49" fontId="10" fillId="7" borderId="7" xfId="0" applyNumberFormat="1" applyFont="1" applyFill="1" applyBorder="1" applyAlignment="1">
      <alignment horizontal="right"/>
    </xf>
    <xf numFmtId="49" fontId="10" fillId="6" borderId="3" xfId="0" applyNumberFormat="1" applyFont="1" applyFill="1" applyBorder="1" applyAlignment="1">
      <alignment horizontal="right"/>
    </xf>
    <xf numFmtId="49" fontId="10" fillId="6" borderId="7" xfId="0" applyNumberFormat="1" applyFont="1" applyFill="1" applyBorder="1" applyAlignment="1">
      <alignment horizontal="right"/>
    </xf>
    <xf numFmtId="0" fontId="0" fillId="0" borderId="0" xfId="0" applyProtection="1">
      <protection hidden="1"/>
    </xf>
    <xf numFmtId="49" fontId="10" fillId="6" borderId="17" xfId="0" applyNumberFormat="1" applyFont="1" applyFill="1" applyBorder="1" applyAlignment="1">
      <alignment horizontal="right"/>
    </xf>
    <xf numFmtId="49" fontId="17" fillId="0" borderId="13" xfId="0" applyNumberFormat="1" applyFont="1" applyBorder="1" applyAlignment="1">
      <alignment horizontal="right"/>
    </xf>
    <xf numFmtId="5" fontId="10" fillId="0" borderId="13" xfId="0" applyNumberFormat="1" applyFont="1" applyBorder="1"/>
    <xf numFmtId="5" fontId="10" fillId="0" borderId="44" xfId="0" applyNumberFormat="1" applyFont="1" applyBorder="1"/>
    <xf numFmtId="49" fontId="10" fillId="6" borderId="25" xfId="0" applyNumberFormat="1" applyFont="1" applyFill="1" applyBorder="1" applyAlignment="1">
      <alignment horizontal="right"/>
    </xf>
    <xf numFmtId="0" fontId="17" fillId="0" borderId="39" xfId="0" applyFont="1" applyBorder="1"/>
    <xf numFmtId="0" fontId="17" fillId="0" borderId="45" xfId="0" applyFont="1" applyBorder="1"/>
    <xf numFmtId="5" fontId="17" fillId="0" borderId="45" xfId="0" applyNumberFormat="1" applyFont="1" applyBorder="1"/>
    <xf numFmtId="5" fontId="17" fillId="0" borderId="46" xfId="0" applyNumberFormat="1" applyFont="1" applyBorder="1"/>
    <xf numFmtId="0" fontId="10" fillId="0" borderId="20" xfId="0" applyFont="1" applyBorder="1"/>
    <xf numFmtId="0" fontId="17" fillId="0" borderId="47" xfId="0" applyFont="1" applyBorder="1"/>
    <xf numFmtId="3" fontId="10" fillId="0" borderId="0" xfId="0" applyNumberFormat="1" applyFont="1"/>
    <xf numFmtId="49" fontId="17" fillId="0" borderId="20" xfId="0" applyNumberFormat="1" applyFont="1" applyBorder="1" applyAlignment="1">
      <alignment horizontal="right"/>
    </xf>
    <xf numFmtId="0" fontId="17" fillId="0" borderId="26" xfId="0" applyFont="1" applyBorder="1"/>
    <xf numFmtId="0" fontId="17" fillId="0" borderId="22" xfId="0" applyFont="1" applyBorder="1"/>
    <xf numFmtId="5" fontId="17" fillId="0" borderId="22" xfId="0" applyNumberFormat="1" applyFont="1" applyBorder="1"/>
    <xf numFmtId="5" fontId="17" fillId="0" borderId="24" xfId="0" applyNumberFormat="1" applyFont="1" applyBorder="1"/>
    <xf numFmtId="0" fontId="17" fillId="0" borderId="9" xfId="0" applyFont="1" applyBorder="1"/>
    <xf numFmtId="0" fontId="0" fillId="4" borderId="1" xfId="0" applyFill="1" applyBorder="1" applyProtection="1">
      <protection locked="0"/>
    </xf>
    <xf numFmtId="49" fontId="10" fillId="0" borderId="1" xfId="0" applyNumberFormat="1" applyFont="1" applyBorder="1" applyAlignment="1">
      <alignment horizontal="right"/>
    </xf>
    <xf numFmtId="49" fontId="10" fillId="0" borderId="3" xfId="0" applyNumberFormat="1" applyFont="1" applyBorder="1" applyAlignment="1">
      <alignment horizontal="right"/>
    </xf>
    <xf numFmtId="49" fontId="10" fillId="6" borderId="12" xfId="0" applyNumberFormat="1" applyFont="1" applyFill="1" applyBorder="1" applyAlignment="1">
      <alignment horizontal="right"/>
    </xf>
    <xf numFmtId="49" fontId="10" fillId="0" borderId="12" xfId="0" applyNumberFormat="1" applyFont="1" applyBorder="1" applyAlignment="1">
      <alignment horizontal="right"/>
    </xf>
    <xf numFmtId="49" fontId="10" fillId="7" borderId="12" xfId="0" applyNumberFormat="1" applyFont="1" applyFill="1" applyBorder="1" applyAlignment="1">
      <alignment horizontal="right"/>
    </xf>
    <xf numFmtId="49" fontId="17" fillId="0" borderId="19" xfId="0" applyNumberFormat="1" applyFont="1" applyBorder="1" applyAlignment="1">
      <alignment horizontal="right"/>
    </xf>
    <xf numFmtId="5" fontId="10" fillId="0" borderId="19" xfId="0" applyNumberFormat="1" applyFont="1" applyBorder="1"/>
    <xf numFmtId="49" fontId="10" fillId="0" borderId="17" xfId="0" applyNumberFormat="1" applyFont="1" applyBorder="1" applyAlignment="1">
      <alignment horizontal="right"/>
    </xf>
    <xf numFmtId="0" fontId="10" fillId="0" borderId="21" xfId="0" applyFont="1" applyBorder="1"/>
    <xf numFmtId="0" fontId="17" fillId="0" borderId="27" xfId="0" applyFont="1" applyBorder="1"/>
    <xf numFmtId="0" fontId="17" fillId="0" borderId="23" xfId="0" applyFont="1" applyBorder="1"/>
    <xf numFmtId="5" fontId="17" fillId="0" borderId="27" xfId="0" applyNumberFormat="1" applyFont="1" applyBorder="1"/>
    <xf numFmtId="0" fontId="17" fillId="0" borderId="21" xfId="0" applyFont="1" applyBorder="1"/>
    <xf numFmtId="0" fontId="27" fillId="13" borderId="1" xfId="0" applyFont="1" applyFill="1" applyBorder="1"/>
    <xf numFmtId="166" fontId="1" fillId="4" borderId="1" xfId="0" applyNumberFormat="1" applyFont="1" applyFill="1" applyBorder="1" applyProtection="1">
      <protection locked="0"/>
    </xf>
    <xf numFmtId="3" fontId="0" fillId="7" borderId="0" xfId="0" applyNumberFormat="1" applyFill="1"/>
    <xf numFmtId="3" fontId="1" fillId="7" borderId="0" xfId="0" applyNumberFormat="1" applyFont="1" applyFill="1"/>
    <xf numFmtId="0" fontId="0" fillId="0" borderId="49" xfId="0" applyBorder="1"/>
    <xf numFmtId="0" fontId="0" fillId="0" borderId="50" xfId="0" applyBorder="1"/>
    <xf numFmtId="0" fontId="0" fillId="0" borderId="6" xfId="0" applyBorder="1"/>
    <xf numFmtId="10" fontId="0" fillId="0" borderId="6" xfId="0" applyNumberFormat="1" applyBorder="1"/>
    <xf numFmtId="44" fontId="0" fillId="0" borderId="6" xfId="0" applyNumberFormat="1" applyBorder="1"/>
    <xf numFmtId="0" fontId="0" fillId="0" borderId="51" xfId="0" applyBorder="1"/>
    <xf numFmtId="44" fontId="0" fillId="0" borderId="52" xfId="0" applyNumberFormat="1" applyBorder="1"/>
    <xf numFmtId="0" fontId="0" fillId="0" borderId="52" xfId="0" applyBorder="1"/>
    <xf numFmtId="44" fontId="0" fillId="0" borderId="53" xfId="0" applyNumberFormat="1" applyBorder="1"/>
    <xf numFmtId="0" fontId="27" fillId="13" borderId="48" xfId="0" applyFont="1" applyFill="1" applyBorder="1"/>
    <xf numFmtId="44" fontId="0" fillId="0" borderId="0" xfId="0" applyNumberFormat="1"/>
    <xf numFmtId="0" fontId="2" fillId="0" borderId="0" xfId="0" applyFont="1" applyAlignment="1">
      <alignment horizontal="right"/>
    </xf>
    <xf numFmtId="44" fontId="0" fillId="12" borderId="42" xfId="0" applyNumberFormat="1" applyFill="1" applyBorder="1"/>
    <xf numFmtId="0" fontId="17" fillId="0" borderId="1" xfId="0" applyFont="1" applyBorder="1" applyAlignment="1">
      <alignment horizontal="right"/>
    </xf>
    <xf numFmtId="1" fontId="17" fillId="0" borderId="1" xfId="0" applyNumberFormat="1" applyFont="1" applyBorder="1" applyAlignment="1">
      <alignment horizontal="right"/>
    </xf>
    <xf numFmtId="165" fontId="17" fillId="0" borderId="0" xfId="2" applyFont="1"/>
    <xf numFmtId="0" fontId="0" fillId="0" borderId="10" xfId="0" applyBorder="1" applyProtection="1">
      <protection locked="0"/>
    </xf>
    <xf numFmtId="0" fontId="0" fillId="0" borderId="9" xfId="0" applyBorder="1"/>
    <xf numFmtId="1" fontId="10" fillId="4" borderId="1" xfId="0" applyNumberFormat="1" applyFont="1" applyFill="1" applyBorder="1" applyAlignment="1" applyProtection="1">
      <alignment horizontal="right"/>
      <protection locked="0"/>
    </xf>
    <xf numFmtId="165" fontId="38" fillId="0" borderId="2" xfId="2" applyFont="1" applyBorder="1" applyAlignment="1">
      <alignment wrapText="1"/>
    </xf>
    <xf numFmtId="5" fontId="32" fillId="4" borderId="16" xfId="2" applyNumberFormat="1" applyFont="1" applyFill="1" applyBorder="1" applyProtection="1">
      <protection locked="0"/>
    </xf>
    <xf numFmtId="5" fontId="32" fillId="4" borderId="2" xfId="2" applyNumberFormat="1" applyFont="1" applyFill="1" applyBorder="1" applyProtection="1">
      <protection locked="0"/>
    </xf>
    <xf numFmtId="5" fontId="32" fillId="4" borderId="2" xfId="0" applyNumberFormat="1" applyFont="1" applyFill="1" applyBorder="1" applyProtection="1">
      <protection locked="0"/>
    </xf>
    <xf numFmtId="166" fontId="43" fillId="0" borderId="18" xfId="1" applyNumberFormat="1" applyFont="1" applyFill="1" applyBorder="1" applyAlignment="1" applyProtection="1"/>
    <xf numFmtId="0" fontId="27" fillId="15" borderId="0" xfId="0" applyFont="1" applyFill="1" applyAlignment="1">
      <alignment wrapText="1"/>
    </xf>
    <xf numFmtId="0" fontId="0" fillId="15" borderId="0" xfId="0" applyFill="1"/>
    <xf numFmtId="0" fontId="41" fillId="15" borderId="0" xfId="0" applyFont="1" applyFill="1" applyAlignment="1">
      <alignment horizontal="center"/>
    </xf>
    <xf numFmtId="0" fontId="20" fillId="0" borderId="49" xfId="0" applyFont="1" applyBorder="1" applyAlignment="1">
      <alignment horizontal="left" vertical="center"/>
    </xf>
    <xf numFmtId="0" fontId="20" fillId="0" borderId="49" xfId="0" applyFont="1" applyBorder="1" applyAlignment="1">
      <alignment horizontal="center" vertical="center"/>
    </xf>
    <xf numFmtId="3" fontId="17" fillId="0" borderId="45" xfId="0" applyNumberFormat="1" applyFont="1" applyBorder="1"/>
    <xf numFmtId="0" fontId="14" fillId="13" borderId="0" xfId="0" applyFont="1" applyFill="1" applyAlignment="1">
      <alignment horizontal="center" wrapText="1"/>
    </xf>
    <xf numFmtId="0" fontId="14" fillId="13" borderId="18" xfId="0" applyFont="1" applyFill="1" applyBorder="1" applyAlignment="1">
      <alignment horizontal="center" wrapText="1"/>
    </xf>
    <xf numFmtId="0" fontId="0" fillId="16" borderId="0" xfId="0" applyFill="1" applyProtection="1">
      <protection locked="0"/>
    </xf>
    <xf numFmtId="0" fontId="0" fillId="4" borderId="49" xfId="0" applyFill="1" applyBorder="1" applyProtection="1">
      <protection locked="0"/>
    </xf>
    <xf numFmtId="44" fontId="0" fillId="4" borderId="0" xfId="0" applyNumberFormat="1" applyFill="1" applyProtection="1">
      <protection locked="0"/>
    </xf>
    <xf numFmtId="10" fontId="0" fillId="4" borderId="0" xfId="0" applyNumberFormat="1" applyFill="1" applyProtection="1">
      <protection locked="0"/>
    </xf>
    <xf numFmtId="164" fontId="1" fillId="0" borderId="0" xfId="0" applyNumberFormat="1" applyFont="1"/>
    <xf numFmtId="0" fontId="0" fillId="16" borderId="10" xfId="0" applyFill="1" applyBorder="1" applyProtection="1">
      <protection locked="0"/>
    </xf>
    <xf numFmtId="9" fontId="10" fillId="11" borderId="1" xfId="0" applyNumberFormat="1" applyFont="1" applyFill="1" applyBorder="1" applyAlignment="1">
      <alignment horizontal="right"/>
    </xf>
    <xf numFmtId="0" fontId="0" fillId="14" borderId="42" xfId="0" applyFill="1" applyBorder="1"/>
    <xf numFmtId="10" fontId="36" fillId="9" borderId="1" xfId="1" applyNumberFormat="1" applyFont="1" applyFill="1" applyBorder="1" applyAlignment="1" applyProtection="1">
      <alignment horizontal="center"/>
    </xf>
    <xf numFmtId="10" fontId="37" fillId="9" borderId="13" xfId="1" applyNumberFormat="1" applyFont="1" applyFill="1" applyBorder="1" applyAlignment="1" applyProtection="1">
      <alignment horizontal="center"/>
    </xf>
    <xf numFmtId="10" fontId="38" fillId="9" borderId="15" xfId="1" applyNumberFormat="1" applyFont="1" applyFill="1" applyBorder="1" applyAlignment="1" applyProtection="1"/>
    <xf numFmtId="10" fontId="39" fillId="9" borderId="13" xfId="2" applyNumberFormat="1" applyFont="1" applyFill="1" applyBorder="1" applyAlignment="1">
      <alignment horizontal="center"/>
    </xf>
    <xf numFmtId="9" fontId="10" fillId="16" borderId="1" xfId="0" applyNumberFormat="1" applyFont="1" applyFill="1" applyBorder="1" applyAlignment="1" applyProtection="1">
      <alignment horizontal="right"/>
      <protection locked="0"/>
    </xf>
    <xf numFmtId="6" fontId="17" fillId="16" borderId="2" xfId="3" applyNumberFormat="1" applyFont="1" applyFill="1" applyBorder="1" applyAlignment="1" applyProtection="1">
      <alignment horizontal="left"/>
      <protection locked="0"/>
    </xf>
    <xf numFmtId="10" fontId="0" fillId="4" borderId="42" xfId="0" applyNumberFormat="1" applyFill="1" applyBorder="1" applyProtection="1">
      <protection locked="0"/>
    </xf>
    <xf numFmtId="44" fontId="0" fillId="4" borderId="42" xfId="0" applyNumberFormat="1" applyFill="1" applyBorder="1" applyProtection="1">
      <protection locked="0"/>
    </xf>
    <xf numFmtId="10" fontId="17" fillId="12" borderId="1" xfId="0" applyNumberFormat="1" applyFont="1" applyFill="1" applyBorder="1"/>
    <xf numFmtId="165" fontId="17" fillId="0" borderId="2" xfId="2" applyFont="1" applyBorder="1"/>
    <xf numFmtId="14" fontId="0" fillId="4" borderId="0" xfId="0" applyNumberFormat="1" applyFill="1" applyProtection="1">
      <protection locked="0"/>
    </xf>
    <xf numFmtId="3" fontId="0" fillId="11" borderId="0" xfId="0" applyNumberFormat="1" applyFill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Protection="1">
      <protection locked="0"/>
    </xf>
    <xf numFmtId="14" fontId="0" fillId="16" borderId="0" xfId="0" applyNumberFormat="1" applyFill="1" applyProtection="1">
      <protection locked="0"/>
    </xf>
    <xf numFmtId="0" fontId="35" fillId="0" borderId="0" xfId="0" applyFont="1" applyAlignment="1">
      <alignment horizontal="center"/>
    </xf>
    <xf numFmtId="10" fontId="36" fillId="9" borderId="13" xfId="1" applyNumberFormat="1" applyFont="1" applyFill="1" applyBorder="1" applyAlignment="1" applyProtection="1">
      <alignment horizontal="center"/>
    </xf>
    <xf numFmtId="165" fontId="36" fillId="0" borderId="18" xfId="2" applyFont="1" applyBorder="1" applyAlignment="1">
      <alignment horizontal="center" wrapText="1"/>
    </xf>
    <xf numFmtId="5" fontId="17" fillId="0" borderId="0" xfId="0" applyNumberFormat="1" applyFont="1"/>
    <xf numFmtId="165" fontId="46" fillId="0" borderId="1" xfId="2" applyFont="1" applyBorder="1" applyAlignment="1">
      <alignment horizontal="center" wrapText="1"/>
    </xf>
    <xf numFmtId="5" fontId="46" fillId="4" borderId="12" xfId="2" applyNumberFormat="1" applyFont="1" applyFill="1" applyBorder="1" applyProtection="1">
      <protection locked="0"/>
    </xf>
    <xf numFmtId="165" fontId="47" fillId="0" borderId="1" xfId="2" applyFont="1" applyBorder="1" applyAlignment="1">
      <alignment horizontal="center" wrapText="1"/>
    </xf>
    <xf numFmtId="165" fontId="32" fillId="0" borderId="2" xfId="2" applyFont="1" applyBorder="1" applyAlignment="1">
      <alignment horizontal="center" wrapText="1"/>
    </xf>
    <xf numFmtId="165" fontId="43" fillId="0" borderId="1" xfId="2" applyFont="1" applyBorder="1" applyAlignment="1">
      <alignment horizontal="center" wrapText="1"/>
    </xf>
    <xf numFmtId="10" fontId="43" fillId="9" borderId="13" xfId="1" applyNumberFormat="1" applyFont="1" applyFill="1" applyBorder="1" applyAlignment="1" applyProtection="1">
      <alignment horizontal="center"/>
    </xf>
    <xf numFmtId="165" fontId="43" fillId="0" borderId="18" xfId="2" applyFont="1" applyBorder="1" applyAlignment="1">
      <alignment horizontal="center" wrapText="1"/>
    </xf>
    <xf numFmtId="165" fontId="49" fillId="0" borderId="1" xfId="2" applyFont="1" applyBorder="1" applyAlignment="1">
      <alignment horizontal="center" wrapText="1"/>
    </xf>
    <xf numFmtId="5" fontId="49" fillId="4" borderId="12" xfId="2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0" fontId="10" fillId="0" borderId="1" xfId="0" applyNumberFormat="1" applyFont="1" applyBorder="1"/>
    <xf numFmtId="10" fontId="10" fillId="0" borderId="1" xfId="1" applyNumberFormat="1" applyFont="1" applyFill="1" applyBorder="1" applyProtection="1"/>
    <xf numFmtId="165" fontId="34" fillId="0" borderId="1" xfId="2" applyFont="1" applyBorder="1" applyAlignment="1">
      <alignment horizontal="center" wrapText="1"/>
    </xf>
    <xf numFmtId="5" fontId="34" fillId="4" borderId="14" xfId="2" applyNumberFormat="1" applyFont="1" applyFill="1" applyBorder="1" applyProtection="1">
      <protection locked="0"/>
    </xf>
    <xf numFmtId="5" fontId="34" fillId="4" borderId="1" xfId="2" applyNumberFormat="1" applyFont="1" applyFill="1" applyBorder="1" applyProtection="1">
      <protection locked="0"/>
    </xf>
    <xf numFmtId="5" fontId="34" fillId="4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5" xfId="0" applyFont="1" applyBorder="1"/>
    <xf numFmtId="0" fontId="0" fillId="2" borderId="0" xfId="0" applyFill="1"/>
    <xf numFmtId="44" fontId="0" fillId="2" borderId="0" xfId="7" applyFont="1" applyFill="1"/>
    <xf numFmtId="0" fontId="0" fillId="17" borderId="0" xfId="0" applyFill="1"/>
    <xf numFmtId="0" fontId="0" fillId="18" borderId="0" xfId="0" applyFill="1"/>
    <xf numFmtId="44" fontId="0" fillId="4" borderId="0" xfId="7" applyFont="1" applyFill="1" applyProtection="1">
      <protection locked="0"/>
    </xf>
    <xf numFmtId="0" fontId="0" fillId="19" borderId="0" xfId="0" applyFill="1"/>
    <xf numFmtId="0" fontId="1" fillId="19" borderId="0" xfId="0" applyFont="1" applyFill="1"/>
    <xf numFmtId="44" fontId="0" fillId="19" borderId="1" xfId="0" applyNumberFormat="1" applyFill="1" applyBorder="1"/>
    <xf numFmtId="10" fontId="40" fillId="9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Border="1"/>
    <xf numFmtId="0" fontId="27" fillId="1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4" fontId="0" fillId="12" borderId="0" xfId="0" applyNumberFormat="1" applyFill="1"/>
    <xf numFmtId="9" fontId="10" fillId="4" borderId="1" xfId="1" applyFont="1" applyFill="1" applyBorder="1" applyAlignment="1" applyProtection="1">
      <alignment horizontal="right"/>
      <protection locked="0"/>
    </xf>
    <xf numFmtId="9" fontId="10" fillId="16" borderId="1" xfId="1" applyFont="1" applyFill="1" applyBorder="1" applyAlignment="1" applyProtection="1">
      <alignment horizontal="right"/>
      <protection locked="0"/>
    </xf>
    <xf numFmtId="166" fontId="10" fillId="0" borderId="1" xfId="1" applyNumberFormat="1" applyFont="1" applyFill="1" applyBorder="1" applyProtection="1"/>
    <xf numFmtId="166" fontId="5" fillId="0" borderId="0" xfId="1" applyNumberFormat="1" applyFont="1" applyBorder="1" applyProtection="1"/>
    <xf numFmtId="166" fontId="5" fillId="0" borderId="0" xfId="1" applyNumberFormat="1" applyFont="1" applyFill="1" applyBorder="1" applyProtection="1"/>
    <xf numFmtId="9" fontId="5" fillId="0" borderId="0" xfId="1" applyFont="1"/>
    <xf numFmtId="10" fontId="0" fillId="16" borderId="0" xfId="0" applyNumberFormat="1" applyFill="1" applyProtection="1">
      <protection locked="0"/>
    </xf>
    <xf numFmtId="7" fontId="0" fillId="16" borderId="0" xfId="0" applyNumberFormat="1" applyFill="1" applyProtection="1">
      <protection locked="0"/>
    </xf>
    <xf numFmtId="0" fontId="0" fillId="0" borderId="0" xfId="0" applyAlignment="1">
      <alignment horizontal="right"/>
    </xf>
    <xf numFmtId="7" fontId="0" fillId="0" borderId="0" xfId="0" applyNumberFormat="1"/>
    <xf numFmtId="2" fontId="0" fillId="0" borderId="0" xfId="0" applyNumberFormat="1"/>
    <xf numFmtId="0" fontId="12" fillId="0" borderId="0" xfId="0" applyFont="1" applyAlignment="1">
      <alignment horizontal="center"/>
    </xf>
    <xf numFmtId="9" fontId="17" fillId="0" borderId="0" xfId="0" applyNumberFormat="1" applyFont="1"/>
    <xf numFmtId="5" fontId="27" fillId="0" borderId="0" xfId="2" applyNumberFormat="1" applyFont="1"/>
    <xf numFmtId="0" fontId="26" fillId="0" borderId="0" xfId="0" applyFont="1"/>
    <xf numFmtId="10" fontId="1" fillId="0" borderId="0" xfId="0" applyNumberFormat="1" applyFont="1" applyAlignment="1">
      <alignment wrapText="1"/>
    </xf>
    <xf numFmtId="3" fontId="12" fillId="0" borderId="0" xfId="0" applyNumberFormat="1" applyFont="1"/>
    <xf numFmtId="0" fontId="12" fillId="0" borderId="0" xfId="0" applyFont="1"/>
    <xf numFmtId="0" fontId="12" fillId="0" borderId="0" xfId="0" applyFont="1" applyProtection="1">
      <protection locked="0"/>
    </xf>
    <xf numFmtId="3" fontId="3" fillId="16" borderId="0" xfId="0" applyNumberFormat="1" applyFont="1" applyFill="1" applyProtection="1">
      <protection locked="0"/>
    </xf>
    <xf numFmtId="0" fontId="3" fillId="20" borderId="0" xfId="0" applyFont="1" applyFill="1"/>
    <xf numFmtId="3" fontId="3" fillId="20" borderId="0" xfId="0" applyNumberFormat="1" applyFont="1" applyFill="1"/>
    <xf numFmtId="3" fontId="3" fillId="20" borderId="0" xfId="0" applyNumberFormat="1" applyFont="1" applyFill="1" applyProtection="1">
      <protection locked="0"/>
    </xf>
    <xf numFmtId="3" fontId="12" fillId="20" borderId="0" xfId="0" applyNumberFormat="1" applyFont="1" applyFill="1"/>
    <xf numFmtId="164" fontId="3" fillId="0" borderId="0" xfId="0" applyNumberFormat="1" applyFont="1"/>
    <xf numFmtId="0" fontId="12" fillId="20" borderId="0" xfId="0" applyFont="1" applyFill="1"/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23" xfId="0" applyFill="1" applyBorder="1" applyAlignment="1" applyProtection="1">
      <alignment horizontal="left"/>
      <protection locked="0"/>
    </xf>
    <xf numFmtId="0" fontId="0" fillId="4" borderId="28" xfId="0" applyFill="1" applyBorder="1" applyAlignment="1" applyProtection="1">
      <alignment horizontal="left"/>
      <protection locked="0"/>
    </xf>
    <xf numFmtId="49" fontId="0" fillId="4" borderId="21" xfId="0" applyNumberFormat="1" applyFill="1" applyBorder="1" applyAlignment="1" applyProtection="1">
      <alignment horizontal="left"/>
      <protection locked="0"/>
    </xf>
    <xf numFmtId="49" fontId="0" fillId="4" borderId="23" xfId="0" applyNumberFormat="1" applyFill="1" applyBorder="1" applyAlignment="1" applyProtection="1">
      <alignment horizontal="left"/>
      <protection locked="0"/>
    </xf>
    <xf numFmtId="49" fontId="0" fillId="4" borderId="28" xfId="0" applyNumberFormat="1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28" fillId="13" borderId="4" xfId="0" applyFont="1" applyFill="1" applyBorder="1" applyAlignment="1">
      <alignment horizontal="center" vertical="center" wrapText="1"/>
    </xf>
    <xf numFmtId="0" fontId="29" fillId="13" borderId="4" xfId="0" applyFont="1" applyFill="1" applyBorder="1"/>
    <xf numFmtId="0" fontId="28" fillId="13" borderId="0" xfId="0" applyFont="1" applyFill="1" applyAlignment="1">
      <alignment horizontal="center" vertical="center" wrapText="1"/>
    </xf>
    <xf numFmtId="0" fontId="29" fillId="13" borderId="0" xfId="0" applyFont="1" applyFill="1"/>
    <xf numFmtId="0" fontId="16" fillId="13" borderId="59" xfId="0" applyFont="1" applyFill="1" applyBorder="1" applyAlignment="1">
      <alignment horizontal="center"/>
    </xf>
    <xf numFmtId="0" fontId="16" fillId="13" borderId="0" xfId="0" applyFont="1" applyFill="1" applyAlignment="1">
      <alignment horizontal="center"/>
    </xf>
    <xf numFmtId="0" fontId="27" fillId="13" borderId="13" xfId="0" applyFont="1" applyFill="1" applyBorder="1" applyAlignment="1">
      <alignment horizontal="left" wrapText="1"/>
    </xf>
    <xf numFmtId="0" fontId="27" fillId="13" borderId="14" xfId="0" applyFont="1" applyFill="1" applyBorder="1" applyAlignment="1">
      <alignment horizontal="left" wrapText="1"/>
    </xf>
    <xf numFmtId="0" fontId="16" fillId="13" borderId="5" xfId="0" applyFont="1" applyFill="1" applyBorder="1" applyAlignment="1">
      <alignment horizontal="center"/>
    </xf>
    <xf numFmtId="0" fontId="27" fillId="13" borderId="44" xfId="0" applyFont="1" applyFill="1" applyBorder="1" applyAlignment="1">
      <alignment horizontal="left" wrapText="1"/>
    </xf>
    <xf numFmtId="0" fontId="27" fillId="13" borderId="60" xfId="0" applyFont="1" applyFill="1" applyBorder="1" applyAlignment="1">
      <alignment horizontal="left" wrapText="1"/>
    </xf>
    <xf numFmtId="9" fontId="17" fillId="4" borderId="1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7" fillId="13" borderId="1" xfId="0" applyFont="1" applyFill="1" applyBorder="1" applyAlignment="1">
      <alignment wrapText="1"/>
    </xf>
    <xf numFmtId="9" fontId="17" fillId="4" borderId="2" xfId="0" applyNumberFormat="1" applyFont="1" applyFill="1" applyBorder="1" applyAlignment="1" applyProtection="1">
      <alignment horizontal="right"/>
      <protection locked="0"/>
    </xf>
    <xf numFmtId="9" fontId="17" fillId="4" borderId="3" xfId="0" applyNumberFormat="1" applyFont="1" applyFill="1" applyBorder="1" applyAlignment="1" applyProtection="1">
      <alignment horizontal="right"/>
      <protection locked="0"/>
    </xf>
    <xf numFmtId="0" fontId="14" fillId="13" borderId="13" xfId="0" applyFont="1" applyFill="1" applyBorder="1" applyAlignment="1">
      <alignment wrapText="1"/>
    </xf>
    <xf numFmtId="0" fontId="14" fillId="13" borderId="14" xfId="0" applyFont="1" applyFill="1" applyBorder="1" applyAlignment="1">
      <alignment wrapText="1"/>
    </xf>
    <xf numFmtId="0" fontId="14" fillId="13" borderId="13" xfId="0" applyFont="1" applyFill="1" applyBorder="1" applyAlignment="1">
      <alignment horizontal="left" wrapText="1"/>
    </xf>
    <xf numFmtId="0" fontId="14" fillId="13" borderId="14" xfId="0" applyFont="1" applyFill="1" applyBorder="1" applyAlignment="1">
      <alignment horizontal="left" wrapText="1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32" fillId="0" borderId="9" xfId="2" applyFont="1" applyBorder="1" applyAlignment="1">
      <alignment horizontal="center" wrapText="1"/>
    </xf>
    <xf numFmtId="0" fontId="27" fillId="13" borderId="55" xfId="0" applyFont="1" applyFill="1" applyBorder="1" applyAlignment="1">
      <alignment horizontal="center" vertical="center" wrapText="1"/>
    </xf>
    <xf numFmtId="0" fontId="27" fillId="13" borderId="56" xfId="0" applyFont="1" applyFill="1" applyBorder="1" applyAlignment="1">
      <alignment horizontal="center" vertical="center" wrapText="1"/>
    </xf>
    <xf numFmtId="0" fontId="27" fillId="13" borderId="39" xfId="0" applyFont="1" applyFill="1" applyBorder="1" applyAlignment="1">
      <alignment horizontal="center" vertical="center" wrapText="1"/>
    </xf>
    <xf numFmtId="0" fontId="27" fillId="13" borderId="40" xfId="0" applyFont="1" applyFill="1" applyBorder="1" applyAlignment="1">
      <alignment horizontal="center" vertical="center" wrapText="1"/>
    </xf>
    <xf numFmtId="0" fontId="27" fillId="13" borderId="54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32" xfId="0" applyBorder="1"/>
    <xf numFmtId="0" fontId="0" fillId="0" borderId="34" xfId="0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2" fillId="0" borderId="0" xfId="0" applyFont="1"/>
    <xf numFmtId="0" fontId="2" fillId="0" borderId="33" xfId="0" applyFont="1" applyBorder="1"/>
    <xf numFmtId="0" fontId="2" fillId="3" borderId="0" xfId="0" applyFont="1" applyFill="1" applyAlignment="1">
      <alignment wrapText="1"/>
    </xf>
    <xf numFmtId="0" fontId="0" fillId="0" borderId="11" xfId="0" applyBorder="1" applyAlignment="1">
      <alignment wrapText="1"/>
    </xf>
    <xf numFmtId="0" fontId="19" fillId="5" borderId="61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/>
    </xf>
  </cellXfs>
  <cellStyles count="8">
    <cellStyle name="Comma 2" xfId="5" xr:uid="{00000000-0005-0000-0000-000001000000}"/>
    <cellStyle name="Currency" xfId="7" builtinId="4"/>
    <cellStyle name="Hyperlink" xfId="6" builtinId="8"/>
    <cellStyle name="Normal" xfId="0" builtinId="0"/>
    <cellStyle name="Normal 2" xfId="4" xr:uid="{00000000-0005-0000-0000-000004000000}"/>
    <cellStyle name="Normal_FIRSTBUD" xfId="3" xr:uid="{00000000-0005-0000-0000-000005000000}"/>
    <cellStyle name="Normal_Sheet1" xfId="2" xr:uid="{00000000-0005-0000-0000-000006000000}"/>
    <cellStyle name="Percent" xfId="1" builtinId="5"/>
  </cellStyles>
  <dxfs count="0"/>
  <tableStyles count="0" defaultTableStyle="TableStyleMedium2" defaultPivotStyle="PivotStyleLight16"/>
  <colors>
    <mruColors>
      <color rgb="FFBDD7EE"/>
      <color rgb="FFE7E6E6"/>
      <color rgb="FFF2F2F2"/>
      <color rgb="FFFFFF99"/>
      <color rgb="FFFF66FF"/>
      <color rgb="FFEAC2DC"/>
      <color rgb="FF99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AQ$1" lockText="1" noThreeD="1"/>
</file>

<file path=xl/ctrlProps/ctrlProp10.xml><?xml version="1.0" encoding="utf-8"?>
<formControlPr xmlns="http://schemas.microsoft.com/office/spreadsheetml/2009/9/main" objectType="CheckBox" checked="Checked" fmlaLink="AS2" lockText="1" noThreeD="1"/>
</file>

<file path=xl/ctrlProps/ctrlProp11.xml><?xml version="1.0" encoding="utf-8"?>
<formControlPr xmlns="http://schemas.microsoft.com/office/spreadsheetml/2009/9/main" objectType="CheckBox" checked="Checked" fmlaLink="AS3" lockText="1" noThreeD="1"/>
</file>

<file path=xl/ctrlProps/ctrlProp12.xml><?xml version="1.0" encoding="utf-8"?>
<formControlPr xmlns="http://schemas.microsoft.com/office/spreadsheetml/2009/9/main" objectType="CheckBox" checked="Checked" fmlaLink="AS4" lockText="1" noThreeD="1"/>
</file>

<file path=xl/ctrlProps/ctrlProp13.xml><?xml version="1.0" encoding="utf-8"?>
<formControlPr xmlns="http://schemas.microsoft.com/office/spreadsheetml/2009/9/main" objectType="CheckBox" checked="Checked" fmlaLink="AS5" lockText="1" noThreeD="1"/>
</file>

<file path=xl/ctrlProps/ctrlProp14.xml><?xml version="1.0" encoding="utf-8"?>
<formControlPr xmlns="http://schemas.microsoft.com/office/spreadsheetml/2009/9/main" objectType="CheckBox" checked="Checked" fmlaLink="AS6" lockText="1" noThreeD="1"/>
</file>

<file path=xl/ctrlProps/ctrlProp15.xml><?xml version="1.0" encoding="utf-8"?>
<formControlPr xmlns="http://schemas.microsoft.com/office/spreadsheetml/2009/9/main" objectType="CheckBox" checked="Checked" fmlaLink="AS7" lockText="1" noThreeD="1"/>
</file>

<file path=xl/ctrlProps/ctrlProp16.xml><?xml version="1.0" encoding="utf-8"?>
<formControlPr xmlns="http://schemas.microsoft.com/office/spreadsheetml/2009/9/main" objectType="CheckBox" checked="Checked" fmlaLink="AS8" lockText="1" noThreeD="1"/>
</file>

<file path=xl/ctrlProps/ctrlProp17.xml><?xml version="1.0" encoding="utf-8"?>
<formControlPr xmlns="http://schemas.microsoft.com/office/spreadsheetml/2009/9/main" objectType="CheckBox" checked="Checked" fmlaLink="$AR$1" lockText="1" noThreeD="1"/>
</file>

<file path=xl/ctrlProps/ctrlProp18.xml><?xml version="1.0" encoding="utf-8"?>
<formControlPr xmlns="http://schemas.microsoft.com/office/spreadsheetml/2009/9/main" objectType="CheckBox" checked="Checked" fmlaLink="$AR$2" lockText="1" noThreeD="1"/>
</file>

<file path=xl/ctrlProps/ctrlProp19.xml><?xml version="1.0" encoding="utf-8"?>
<formControlPr xmlns="http://schemas.microsoft.com/office/spreadsheetml/2009/9/main" objectType="CheckBox" checked="Checked" fmlaLink="$AR$3" lockText="1" noThreeD="1"/>
</file>

<file path=xl/ctrlProps/ctrlProp2.xml><?xml version="1.0" encoding="utf-8"?>
<formControlPr xmlns="http://schemas.microsoft.com/office/spreadsheetml/2009/9/main" objectType="CheckBox" checked="Checked" fmlaLink="$AQ$2" lockText="1" noThreeD="1"/>
</file>

<file path=xl/ctrlProps/ctrlProp20.xml><?xml version="1.0" encoding="utf-8"?>
<formControlPr xmlns="http://schemas.microsoft.com/office/spreadsheetml/2009/9/main" objectType="CheckBox" checked="Checked" fmlaLink="$AR$4" lockText="1" noThreeD="1"/>
</file>

<file path=xl/ctrlProps/ctrlProp21.xml><?xml version="1.0" encoding="utf-8"?>
<formControlPr xmlns="http://schemas.microsoft.com/office/spreadsheetml/2009/9/main" objectType="CheckBox" checked="Checked" fmlaLink="AT5" lockText="1" noThreeD="1"/>
</file>

<file path=xl/ctrlProps/ctrlProp22.xml><?xml version="1.0" encoding="utf-8"?>
<formControlPr xmlns="http://schemas.microsoft.com/office/spreadsheetml/2009/9/main" objectType="CheckBox" checked="Checked" fmlaLink="$AR$6" lockText="1" noThreeD="1"/>
</file>

<file path=xl/ctrlProps/ctrlProp23.xml><?xml version="1.0" encoding="utf-8"?>
<formControlPr xmlns="http://schemas.microsoft.com/office/spreadsheetml/2009/9/main" objectType="CheckBox" checked="Checked" fmlaLink="$AR$7" lockText="1" noThreeD="1"/>
</file>

<file path=xl/ctrlProps/ctrlProp24.xml><?xml version="1.0" encoding="utf-8"?>
<formControlPr xmlns="http://schemas.microsoft.com/office/spreadsheetml/2009/9/main" objectType="CheckBox" checked="Checked" fmlaLink="$AR$8" lockText="1" noThreeD="1"/>
</file>

<file path=xl/ctrlProps/ctrlProp25.xml><?xml version="1.0" encoding="utf-8"?>
<formControlPr xmlns="http://schemas.microsoft.com/office/spreadsheetml/2009/9/main" objectType="CheckBox" checked="Checked" fmlaLink="$AT$1" lockText="1" noThreeD="1"/>
</file>

<file path=xl/ctrlProps/ctrlProp26.xml><?xml version="1.0" encoding="utf-8"?>
<formControlPr xmlns="http://schemas.microsoft.com/office/spreadsheetml/2009/9/main" objectType="CheckBox" checked="Checked" fmlaLink="$AT$2" lockText="1" noThreeD="1"/>
</file>

<file path=xl/ctrlProps/ctrlProp27.xml><?xml version="1.0" encoding="utf-8"?>
<formControlPr xmlns="http://schemas.microsoft.com/office/spreadsheetml/2009/9/main" objectType="CheckBox" checked="Checked" fmlaLink="$AT$3" lockText="1" noThreeD="1"/>
</file>

<file path=xl/ctrlProps/ctrlProp28.xml><?xml version="1.0" encoding="utf-8"?>
<formControlPr xmlns="http://schemas.microsoft.com/office/spreadsheetml/2009/9/main" objectType="CheckBox" checked="Checked" fmlaLink="$AT$4" lockText="1" noThreeD="1"/>
</file>

<file path=xl/ctrlProps/ctrlProp29.xml><?xml version="1.0" encoding="utf-8"?>
<formControlPr xmlns="http://schemas.microsoft.com/office/spreadsheetml/2009/9/main" objectType="CheckBox" checked="Checked" fmlaLink="$AT$5" lockText="1" noThreeD="1"/>
</file>

<file path=xl/ctrlProps/ctrlProp3.xml><?xml version="1.0" encoding="utf-8"?>
<formControlPr xmlns="http://schemas.microsoft.com/office/spreadsheetml/2009/9/main" objectType="CheckBox" checked="Checked" fmlaLink="$AQ$3" lockText="1" noThreeD="1"/>
</file>

<file path=xl/ctrlProps/ctrlProp30.xml><?xml version="1.0" encoding="utf-8"?>
<formControlPr xmlns="http://schemas.microsoft.com/office/spreadsheetml/2009/9/main" objectType="CheckBox" checked="Checked" fmlaLink="$AT$6" lockText="1" noThreeD="1"/>
</file>

<file path=xl/ctrlProps/ctrlProp31.xml><?xml version="1.0" encoding="utf-8"?>
<formControlPr xmlns="http://schemas.microsoft.com/office/spreadsheetml/2009/9/main" objectType="CheckBox" checked="Checked" fmlaLink="$AT$7" lockText="1" noThreeD="1"/>
</file>

<file path=xl/ctrlProps/ctrlProp32.xml><?xml version="1.0" encoding="utf-8"?>
<formControlPr xmlns="http://schemas.microsoft.com/office/spreadsheetml/2009/9/main" objectType="CheckBox" checked="Checked" fmlaLink="$AT$8" lockText="1" noThreeD="1"/>
</file>

<file path=xl/ctrlProps/ctrlProp33.xml><?xml version="1.0" encoding="utf-8"?>
<formControlPr xmlns="http://schemas.microsoft.com/office/spreadsheetml/2009/9/main" objectType="CheckBox" checked="Checked" fmlaLink="AQ14" lockText="1" noThreeD="1"/>
</file>

<file path=xl/ctrlProps/ctrlProp34.xml><?xml version="1.0" encoding="utf-8"?>
<formControlPr xmlns="http://schemas.microsoft.com/office/spreadsheetml/2009/9/main" objectType="CheckBox" checked="Checked" fmlaLink="$AQ$9" lockText="1" noThreeD="1"/>
</file>

<file path=xl/ctrlProps/ctrlProp35.xml><?xml version="1.0" encoding="utf-8"?>
<formControlPr xmlns="http://schemas.microsoft.com/office/spreadsheetml/2009/9/main" objectType="CheckBox" checked="Checked" fmlaLink="$AQ$10" lockText="1" noThreeD="1"/>
</file>

<file path=xl/ctrlProps/ctrlProp36.xml><?xml version="1.0" encoding="utf-8"?>
<formControlPr xmlns="http://schemas.microsoft.com/office/spreadsheetml/2009/9/main" objectType="CheckBox" checked="Checked" fmlaLink="$AQ$11" lockText="1" noThreeD="1"/>
</file>

<file path=xl/ctrlProps/ctrlProp37.xml><?xml version="1.0" encoding="utf-8"?>
<formControlPr xmlns="http://schemas.microsoft.com/office/spreadsheetml/2009/9/main" objectType="CheckBox" checked="Checked" fmlaLink="$AQ$12" lockText="1" noThreeD="1"/>
</file>

<file path=xl/ctrlProps/ctrlProp38.xml><?xml version="1.0" encoding="utf-8"?>
<formControlPr xmlns="http://schemas.microsoft.com/office/spreadsheetml/2009/9/main" objectType="CheckBox" checked="Checked" fmlaLink="$AQ$13" lockText="1" noThreeD="1"/>
</file>

<file path=xl/ctrlProps/ctrlProp39.xml><?xml version="1.0" encoding="utf-8"?>
<formControlPr xmlns="http://schemas.microsoft.com/office/spreadsheetml/2009/9/main" objectType="CheckBox" checked="Checked" fmlaLink="$AQ$14" lockText="1" noThreeD="1"/>
</file>

<file path=xl/ctrlProps/ctrlProp4.xml><?xml version="1.0" encoding="utf-8"?>
<formControlPr xmlns="http://schemas.microsoft.com/office/spreadsheetml/2009/9/main" objectType="CheckBox" checked="Checked" fmlaLink="$AQ$4" lockText="1" noThreeD="1"/>
</file>

<file path=xl/ctrlProps/ctrlProp40.xml><?xml version="1.0" encoding="utf-8"?>
<formControlPr xmlns="http://schemas.microsoft.com/office/spreadsheetml/2009/9/main" objectType="CheckBox" checked="Checked" fmlaLink="$AQ$15" lockText="1" noThreeD="1"/>
</file>

<file path=xl/ctrlProps/ctrlProp41.xml><?xml version="1.0" encoding="utf-8"?>
<formControlPr xmlns="http://schemas.microsoft.com/office/spreadsheetml/2009/9/main" objectType="CheckBox" checked="Checked" fmlaLink="$AQ$16" lockText="1" noThreeD="1"/>
</file>

<file path=xl/ctrlProps/ctrlProp42.xml><?xml version="1.0" encoding="utf-8"?>
<formControlPr xmlns="http://schemas.microsoft.com/office/spreadsheetml/2009/9/main" objectType="CheckBox" checked="Checked" fmlaLink="$AR$9" lockText="1" noThreeD="1"/>
</file>

<file path=xl/ctrlProps/ctrlProp43.xml><?xml version="1.0" encoding="utf-8"?>
<formControlPr xmlns="http://schemas.microsoft.com/office/spreadsheetml/2009/9/main" objectType="CheckBox" checked="Checked" fmlaLink="$AR$10" lockText="1" noThreeD="1"/>
</file>

<file path=xl/ctrlProps/ctrlProp44.xml><?xml version="1.0" encoding="utf-8"?>
<formControlPr xmlns="http://schemas.microsoft.com/office/spreadsheetml/2009/9/main" objectType="CheckBox" checked="Checked" fmlaLink="$AR$11" lockText="1" noThreeD="1"/>
</file>

<file path=xl/ctrlProps/ctrlProp45.xml><?xml version="1.0" encoding="utf-8"?>
<formControlPr xmlns="http://schemas.microsoft.com/office/spreadsheetml/2009/9/main" objectType="CheckBox" checked="Checked" fmlaLink="$AR$12" lockText="1" noThreeD="1"/>
</file>

<file path=xl/ctrlProps/ctrlProp46.xml><?xml version="1.0" encoding="utf-8"?>
<formControlPr xmlns="http://schemas.microsoft.com/office/spreadsheetml/2009/9/main" objectType="CheckBox" checked="Checked" fmlaLink="$AR$13" lockText="1" noThreeD="1"/>
</file>

<file path=xl/ctrlProps/ctrlProp47.xml><?xml version="1.0" encoding="utf-8"?>
<formControlPr xmlns="http://schemas.microsoft.com/office/spreadsheetml/2009/9/main" objectType="CheckBox" checked="Checked" fmlaLink="$AR$14" lockText="1" noThreeD="1"/>
</file>

<file path=xl/ctrlProps/ctrlProp48.xml><?xml version="1.0" encoding="utf-8"?>
<formControlPr xmlns="http://schemas.microsoft.com/office/spreadsheetml/2009/9/main" objectType="CheckBox" checked="Checked" fmlaLink="$AR$15" lockText="1" noThreeD="1"/>
</file>

<file path=xl/ctrlProps/ctrlProp49.xml><?xml version="1.0" encoding="utf-8"?>
<formControlPr xmlns="http://schemas.microsoft.com/office/spreadsheetml/2009/9/main" objectType="CheckBox" checked="Checked" fmlaLink="$AR$16" lockText="1" noThreeD="1"/>
</file>

<file path=xl/ctrlProps/ctrlProp5.xml><?xml version="1.0" encoding="utf-8"?>
<formControlPr xmlns="http://schemas.microsoft.com/office/spreadsheetml/2009/9/main" objectType="CheckBox" checked="Checked" fmlaLink="$AQ$5" lockText="1" noThreeD="1"/>
</file>

<file path=xl/ctrlProps/ctrlProp50.xml><?xml version="1.0" encoding="utf-8"?>
<formControlPr xmlns="http://schemas.microsoft.com/office/spreadsheetml/2009/9/main" objectType="CheckBox" checked="Checked" fmlaLink="$AT$9" lockText="1" noThreeD="1"/>
</file>

<file path=xl/ctrlProps/ctrlProp51.xml><?xml version="1.0" encoding="utf-8"?>
<formControlPr xmlns="http://schemas.microsoft.com/office/spreadsheetml/2009/9/main" objectType="CheckBox" checked="Checked" fmlaLink="$AT$10" lockText="1" noThreeD="1"/>
</file>

<file path=xl/ctrlProps/ctrlProp52.xml><?xml version="1.0" encoding="utf-8"?>
<formControlPr xmlns="http://schemas.microsoft.com/office/spreadsheetml/2009/9/main" objectType="CheckBox" checked="Checked" fmlaLink="$AT$11" lockText="1" noThreeD="1"/>
</file>

<file path=xl/ctrlProps/ctrlProp53.xml><?xml version="1.0" encoding="utf-8"?>
<formControlPr xmlns="http://schemas.microsoft.com/office/spreadsheetml/2009/9/main" objectType="CheckBox" checked="Checked" fmlaLink="$AT$12" lockText="1" noThreeD="1"/>
</file>

<file path=xl/ctrlProps/ctrlProp54.xml><?xml version="1.0" encoding="utf-8"?>
<formControlPr xmlns="http://schemas.microsoft.com/office/spreadsheetml/2009/9/main" objectType="CheckBox" checked="Checked" fmlaLink="$AT$13" lockText="1" noThreeD="1"/>
</file>

<file path=xl/ctrlProps/ctrlProp55.xml><?xml version="1.0" encoding="utf-8"?>
<formControlPr xmlns="http://schemas.microsoft.com/office/spreadsheetml/2009/9/main" objectType="CheckBox" checked="Checked" fmlaLink="$AT$14" lockText="1" noThreeD="1"/>
</file>

<file path=xl/ctrlProps/ctrlProp56.xml><?xml version="1.0" encoding="utf-8"?>
<formControlPr xmlns="http://schemas.microsoft.com/office/spreadsheetml/2009/9/main" objectType="CheckBox" checked="Checked" fmlaLink="$AT$15" lockText="1" noThreeD="1"/>
</file>

<file path=xl/ctrlProps/ctrlProp57.xml><?xml version="1.0" encoding="utf-8"?>
<formControlPr xmlns="http://schemas.microsoft.com/office/spreadsheetml/2009/9/main" objectType="CheckBox" checked="Checked" fmlaLink="$AT$16" lockText="1" noThreeD="1"/>
</file>

<file path=xl/ctrlProps/ctrlProp58.xml><?xml version="1.0" encoding="utf-8"?>
<formControlPr xmlns="http://schemas.microsoft.com/office/spreadsheetml/2009/9/main" objectType="CheckBox" checked="Checked" fmlaLink="AS9" lockText="1" noThreeD="1"/>
</file>

<file path=xl/ctrlProps/ctrlProp59.xml><?xml version="1.0" encoding="utf-8"?>
<formControlPr xmlns="http://schemas.microsoft.com/office/spreadsheetml/2009/9/main" objectType="CheckBox" checked="Checked" fmlaLink="AS10" lockText="1" noThreeD="1"/>
</file>

<file path=xl/ctrlProps/ctrlProp6.xml><?xml version="1.0" encoding="utf-8"?>
<formControlPr xmlns="http://schemas.microsoft.com/office/spreadsheetml/2009/9/main" objectType="CheckBox" checked="Checked" fmlaLink="$AQ$6" lockText="1" noThreeD="1"/>
</file>

<file path=xl/ctrlProps/ctrlProp60.xml><?xml version="1.0" encoding="utf-8"?>
<formControlPr xmlns="http://schemas.microsoft.com/office/spreadsheetml/2009/9/main" objectType="CheckBox" checked="Checked" fmlaLink="AS11" lockText="1" noThreeD="1"/>
</file>

<file path=xl/ctrlProps/ctrlProp61.xml><?xml version="1.0" encoding="utf-8"?>
<formControlPr xmlns="http://schemas.microsoft.com/office/spreadsheetml/2009/9/main" objectType="CheckBox" checked="Checked" fmlaLink="AS12" lockText="1" noThreeD="1"/>
</file>

<file path=xl/ctrlProps/ctrlProp62.xml><?xml version="1.0" encoding="utf-8"?>
<formControlPr xmlns="http://schemas.microsoft.com/office/spreadsheetml/2009/9/main" objectType="CheckBox" checked="Checked" fmlaLink="AS13" lockText="1" noThreeD="1"/>
</file>

<file path=xl/ctrlProps/ctrlProp63.xml><?xml version="1.0" encoding="utf-8"?>
<formControlPr xmlns="http://schemas.microsoft.com/office/spreadsheetml/2009/9/main" objectType="CheckBox" checked="Checked" fmlaLink="AS14" lockText="1" noThreeD="1"/>
</file>

<file path=xl/ctrlProps/ctrlProp64.xml><?xml version="1.0" encoding="utf-8"?>
<formControlPr xmlns="http://schemas.microsoft.com/office/spreadsheetml/2009/9/main" objectType="CheckBox" checked="Checked" fmlaLink="AS15" lockText="1" noThreeD="1"/>
</file>

<file path=xl/ctrlProps/ctrlProp65.xml><?xml version="1.0" encoding="utf-8"?>
<formControlPr xmlns="http://schemas.microsoft.com/office/spreadsheetml/2009/9/main" objectType="CheckBox" checked="Checked" fmlaLink="AS16" lockText="1" noThreeD="1"/>
</file>

<file path=xl/ctrlProps/ctrlProp66.xml><?xml version="1.0" encoding="utf-8"?>
<formControlPr xmlns="http://schemas.microsoft.com/office/spreadsheetml/2009/9/main" objectType="CheckBox" checked="Checked" fmlaLink="$AU$1" lockText="1" noThreeD="1"/>
</file>

<file path=xl/ctrlProps/ctrlProp67.xml><?xml version="1.0" encoding="utf-8"?>
<formControlPr xmlns="http://schemas.microsoft.com/office/spreadsheetml/2009/9/main" objectType="CheckBox" checked="Checked" fmlaLink="$AU$2" lockText="1" noThreeD="1"/>
</file>

<file path=xl/ctrlProps/ctrlProp68.xml><?xml version="1.0" encoding="utf-8"?>
<formControlPr xmlns="http://schemas.microsoft.com/office/spreadsheetml/2009/9/main" objectType="CheckBox" checked="Checked" fmlaLink="$AU$3" lockText="1" noThreeD="1"/>
</file>

<file path=xl/ctrlProps/ctrlProp69.xml><?xml version="1.0" encoding="utf-8"?>
<formControlPr xmlns="http://schemas.microsoft.com/office/spreadsheetml/2009/9/main" objectType="CheckBox" checked="Checked" fmlaLink="$AU$4" lockText="1" noThreeD="1"/>
</file>

<file path=xl/ctrlProps/ctrlProp7.xml><?xml version="1.0" encoding="utf-8"?>
<formControlPr xmlns="http://schemas.microsoft.com/office/spreadsheetml/2009/9/main" objectType="CheckBox" checked="Checked" fmlaLink="$AQ$7" lockText="1" noThreeD="1"/>
</file>

<file path=xl/ctrlProps/ctrlProp70.xml><?xml version="1.0" encoding="utf-8"?>
<formControlPr xmlns="http://schemas.microsoft.com/office/spreadsheetml/2009/9/main" objectType="CheckBox" checked="Checked" fmlaLink="$AU$5" lockText="1" noThreeD="1"/>
</file>

<file path=xl/ctrlProps/ctrlProp71.xml><?xml version="1.0" encoding="utf-8"?>
<formControlPr xmlns="http://schemas.microsoft.com/office/spreadsheetml/2009/9/main" objectType="CheckBox" checked="Checked" fmlaLink="$AU$7" lockText="1" noThreeD="1"/>
</file>

<file path=xl/ctrlProps/ctrlProp72.xml><?xml version="1.0" encoding="utf-8"?>
<formControlPr xmlns="http://schemas.microsoft.com/office/spreadsheetml/2009/9/main" objectType="CheckBox" checked="Checked" fmlaLink="$AU$8" lockText="1" noThreeD="1"/>
</file>

<file path=xl/ctrlProps/ctrlProp73.xml><?xml version="1.0" encoding="utf-8"?>
<formControlPr xmlns="http://schemas.microsoft.com/office/spreadsheetml/2009/9/main" objectType="CheckBox" checked="Checked" fmlaLink="$AU$6" lockText="1" noThreeD="1"/>
</file>

<file path=xl/ctrlProps/ctrlProp74.xml><?xml version="1.0" encoding="utf-8"?>
<formControlPr xmlns="http://schemas.microsoft.com/office/spreadsheetml/2009/9/main" objectType="CheckBox" checked="Checked" fmlaLink="$AU$9" lockText="1" noThreeD="1"/>
</file>

<file path=xl/ctrlProps/ctrlProp75.xml><?xml version="1.0" encoding="utf-8"?>
<formControlPr xmlns="http://schemas.microsoft.com/office/spreadsheetml/2009/9/main" objectType="CheckBox" checked="Checked" fmlaLink="$AU$10" lockText="1" noThreeD="1"/>
</file>

<file path=xl/ctrlProps/ctrlProp76.xml><?xml version="1.0" encoding="utf-8"?>
<formControlPr xmlns="http://schemas.microsoft.com/office/spreadsheetml/2009/9/main" objectType="CheckBox" checked="Checked" fmlaLink="$AU$11" lockText="1" noThreeD="1"/>
</file>

<file path=xl/ctrlProps/ctrlProp77.xml><?xml version="1.0" encoding="utf-8"?>
<formControlPr xmlns="http://schemas.microsoft.com/office/spreadsheetml/2009/9/main" objectType="CheckBox" checked="Checked" fmlaLink="$AU$12" lockText="1" noThreeD="1"/>
</file>

<file path=xl/ctrlProps/ctrlProp78.xml><?xml version="1.0" encoding="utf-8"?>
<formControlPr xmlns="http://schemas.microsoft.com/office/spreadsheetml/2009/9/main" objectType="CheckBox" checked="Checked" fmlaLink="$AU$13" lockText="1" noThreeD="1"/>
</file>

<file path=xl/ctrlProps/ctrlProp79.xml><?xml version="1.0" encoding="utf-8"?>
<formControlPr xmlns="http://schemas.microsoft.com/office/spreadsheetml/2009/9/main" objectType="CheckBox" checked="Checked" fmlaLink="$AU$14" lockText="1" noThreeD="1"/>
</file>

<file path=xl/ctrlProps/ctrlProp8.xml><?xml version="1.0" encoding="utf-8"?>
<formControlPr xmlns="http://schemas.microsoft.com/office/spreadsheetml/2009/9/main" objectType="CheckBox" checked="Checked" fmlaLink="$AQ$8" lockText="1" noThreeD="1"/>
</file>

<file path=xl/ctrlProps/ctrlProp80.xml><?xml version="1.0" encoding="utf-8"?>
<formControlPr xmlns="http://schemas.microsoft.com/office/spreadsheetml/2009/9/main" objectType="CheckBox" checked="Checked" fmlaLink="$AU$15" lockText="1" noThreeD="1"/>
</file>

<file path=xl/ctrlProps/ctrlProp81.xml><?xml version="1.0" encoding="utf-8"?>
<formControlPr xmlns="http://schemas.microsoft.com/office/spreadsheetml/2009/9/main" objectType="CheckBox" checked="Checked" fmlaLink="$AU$16" lockText="1" noThreeD="1"/>
</file>

<file path=xl/ctrlProps/ctrlProp82.xml><?xml version="1.0" encoding="utf-8"?>
<formControlPr xmlns="http://schemas.microsoft.com/office/spreadsheetml/2009/9/main" objectType="CheckBox" checked="Checked" fmlaLink="AV1" lockText="1" noThreeD="1"/>
</file>

<file path=xl/ctrlProps/ctrlProp83.xml><?xml version="1.0" encoding="utf-8"?>
<formControlPr xmlns="http://schemas.microsoft.com/office/spreadsheetml/2009/9/main" objectType="CheckBox" checked="Checked" fmlaLink="AV2" lockText="1" noThreeD="1"/>
</file>

<file path=xl/ctrlProps/ctrlProp84.xml><?xml version="1.0" encoding="utf-8"?>
<formControlPr xmlns="http://schemas.microsoft.com/office/spreadsheetml/2009/9/main" objectType="CheckBox" checked="Checked" fmlaLink="AV3" lockText="1" noThreeD="1"/>
</file>

<file path=xl/ctrlProps/ctrlProp85.xml><?xml version="1.0" encoding="utf-8"?>
<formControlPr xmlns="http://schemas.microsoft.com/office/spreadsheetml/2009/9/main" objectType="CheckBox" checked="Checked" fmlaLink="AV4" lockText="1" noThreeD="1"/>
</file>

<file path=xl/ctrlProps/ctrlProp86.xml><?xml version="1.0" encoding="utf-8"?>
<formControlPr xmlns="http://schemas.microsoft.com/office/spreadsheetml/2009/9/main" objectType="CheckBox" checked="Checked" fmlaLink="AV5" lockText="1" noThreeD="1"/>
</file>

<file path=xl/ctrlProps/ctrlProp87.xml><?xml version="1.0" encoding="utf-8"?>
<formControlPr xmlns="http://schemas.microsoft.com/office/spreadsheetml/2009/9/main" objectType="CheckBox" checked="Checked" fmlaLink="AV7" lockText="1" noThreeD="1"/>
</file>

<file path=xl/ctrlProps/ctrlProp88.xml><?xml version="1.0" encoding="utf-8"?>
<formControlPr xmlns="http://schemas.microsoft.com/office/spreadsheetml/2009/9/main" objectType="CheckBox" checked="Checked" fmlaLink="AV8" lockText="1" noThreeD="1"/>
</file>

<file path=xl/ctrlProps/ctrlProp89.xml><?xml version="1.0" encoding="utf-8"?>
<formControlPr xmlns="http://schemas.microsoft.com/office/spreadsheetml/2009/9/main" objectType="CheckBox" checked="Checked" fmlaLink="AV6" lockText="1" noThreeD="1"/>
</file>

<file path=xl/ctrlProps/ctrlProp9.xml><?xml version="1.0" encoding="utf-8"?>
<formControlPr xmlns="http://schemas.microsoft.com/office/spreadsheetml/2009/9/main" objectType="CheckBox" checked="Checked" fmlaLink="AS1" lockText="1" noThreeD="1"/>
</file>

<file path=xl/ctrlProps/ctrlProp90.xml><?xml version="1.0" encoding="utf-8"?>
<formControlPr xmlns="http://schemas.microsoft.com/office/spreadsheetml/2009/9/main" objectType="CheckBox" checked="Checked" fmlaLink="AV9" lockText="1" noThreeD="1"/>
</file>

<file path=xl/ctrlProps/ctrlProp91.xml><?xml version="1.0" encoding="utf-8"?>
<formControlPr xmlns="http://schemas.microsoft.com/office/spreadsheetml/2009/9/main" objectType="CheckBox" checked="Checked" fmlaLink="AV10" lockText="1" noThreeD="1"/>
</file>

<file path=xl/ctrlProps/ctrlProp92.xml><?xml version="1.0" encoding="utf-8"?>
<formControlPr xmlns="http://schemas.microsoft.com/office/spreadsheetml/2009/9/main" objectType="CheckBox" checked="Checked" fmlaLink="AV11" lockText="1" noThreeD="1"/>
</file>

<file path=xl/ctrlProps/ctrlProp93.xml><?xml version="1.0" encoding="utf-8"?>
<formControlPr xmlns="http://schemas.microsoft.com/office/spreadsheetml/2009/9/main" objectType="CheckBox" checked="Checked" fmlaLink="AV12" lockText="1" noThreeD="1"/>
</file>

<file path=xl/ctrlProps/ctrlProp94.xml><?xml version="1.0" encoding="utf-8"?>
<formControlPr xmlns="http://schemas.microsoft.com/office/spreadsheetml/2009/9/main" objectType="CheckBox" checked="Checked" fmlaLink="AV13" lockText="1" noThreeD="1"/>
</file>

<file path=xl/ctrlProps/ctrlProp95.xml><?xml version="1.0" encoding="utf-8"?>
<formControlPr xmlns="http://schemas.microsoft.com/office/spreadsheetml/2009/9/main" objectType="CheckBox" checked="Checked" fmlaLink="AV14" lockText="1" noThreeD="1"/>
</file>

<file path=xl/ctrlProps/ctrlProp96.xml><?xml version="1.0" encoding="utf-8"?>
<formControlPr xmlns="http://schemas.microsoft.com/office/spreadsheetml/2009/9/main" objectType="CheckBox" checked="Checked" fmlaLink="AV15" lockText="1" noThreeD="1"/>
</file>

<file path=xl/ctrlProps/ctrlProp97.xml><?xml version="1.0" encoding="utf-8"?>
<formControlPr xmlns="http://schemas.microsoft.com/office/spreadsheetml/2009/9/main" objectType="CheckBox" checked="Checked" fmlaLink="AV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</xdr:row>
          <xdr:rowOff>25400</xdr:rowOff>
        </xdr:from>
        <xdr:to>
          <xdr:col>0</xdr:col>
          <xdr:colOff>254000</xdr:colOff>
          <xdr:row>26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2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38100</xdr:rowOff>
        </xdr:from>
        <xdr:to>
          <xdr:col>0</xdr:col>
          <xdr:colOff>254000</xdr:colOff>
          <xdr:row>27</xdr:row>
          <xdr:rowOff>25400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2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25400</xdr:rowOff>
        </xdr:from>
        <xdr:to>
          <xdr:col>0</xdr:col>
          <xdr:colOff>266700</xdr:colOff>
          <xdr:row>28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2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25400</xdr:rowOff>
        </xdr:from>
        <xdr:to>
          <xdr:col>0</xdr:col>
          <xdr:colOff>254000</xdr:colOff>
          <xdr:row>29</xdr:row>
          <xdr:rowOff>25400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2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0</xdr:rowOff>
        </xdr:from>
        <xdr:to>
          <xdr:col>0</xdr:col>
          <xdr:colOff>266700</xdr:colOff>
          <xdr:row>30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2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177800</xdr:rowOff>
        </xdr:from>
        <xdr:to>
          <xdr:col>0</xdr:col>
          <xdr:colOff>292100</xdr:colOff>
          <xdr:row>31</xdr:row>
          <xdr:rowOff>25400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2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25400</xdr:rowOff>
        </xdr:from>
        <xdr:to>
          <xdr:col>0</xdr:col>
          <xdr:colOff>254000</xdr:colOff>
          <xdr:row>32</xdr:row>
          <xdr:rowOff>25400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2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32</xdr:row>
          <xdr:rowOff>25400</xdr:rowOff>
        </xdr:from>
        <xdr:to>
          <xdr:col>0</xdr:col>
          <xdr:colOff>254000</xdr:colOff>
          <xdr:row>33</xdr:row>
          <xdr:rowOff>25400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2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45</xdr:row>
          <xdr:rowOff>25400</xdr:rowOff>
        </xdr:from>
        <xdr:to>
          <xdr:col>0</xdr:col>
          <xdr:colOff>266700</xdr:colOff>
          <xdr:row>46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2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46</xdr:row>
          <xdr:rowOff>25400</xdr:rowOff>
        </xdr:from>
        <xdr:to>
          <xdr:col>0</xdr:col>
          <xdr:colOff>254000</xdr:colOff>
          <xdr:row>47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2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47</xdr:row>
          <xdr:rowOff>25400</xdr:rowOff>
        </xdr:from>
        <xdr:to>
          <xdr:col>0</xdr:col>
          <xdr:colOff>254000</xdr:colOff>
          <xdr:row>47</xdr:row>
          <xdr:rowOff>139700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2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48</xdr:row>
          <xdr:rowOff>0</xdr:rowOff>
        </xdr:from>
        <xdr:to>
          <xdr:col>0</xdr:col>
          <xdr:colOff>266700</xdr:colOff>
          <xdr:row>48</xdr:row>
          <xdr:rowOff>177800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2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49</xdr:row>
          <xdr:rowOff>0</xdr:rowOff>
        </xdr:from>
        <xdr:to>
          <xdr:col>0</xdr:col>
          <xdr:colOff>292100</xdr:colOff>
          <xdr:row>50</xdr:row>
          <xdr:rowOff>25400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2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</xdr:row>
          <xdr:rowOff>0</xdr:rowOff>
        </xdr:from>
        <xdr:to>
          <xdr:col>0</xdr:col>
          <xdr:colOff>292100</xdr:colOff>
          <xdr:row>51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2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</xdr:row>
          <xdr:rowOff>0</xdr:rowOff>
        </xdr:from>
        <xdr:to>
          <xdr:col>0</xdr:col>
          <xdr:colOff>254000</xdr:colOff>
          <xdr:row>52</xdr:row>
          <xdr:rowOff>25400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2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52</xdr:row>
          <xdr:rowOff>0</xdr:rowOff>
        </xdr:from>
        <xdr:to>
          <xdr:col>0</xdr:col>
          <xdr:colOff>292100</xdr:colOff>
          <xdr:row>53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2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25</xdr:row>
          <xdr:rowOff>25400</xdr:rowOff>
        </xdr:from>
        <xdr:to>
          <xdr:col>12</xdr:col>
          <xdr:colOff>304800</xdr:colOff>
          <xdr:row>26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2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26</xdr:row>
          <xdr:rowOff>0</xdr:rowOff>
        </xdr:from>
        <xdr:to>
          <xdr:col>12</xdr:col>
          <xdr:colOff>304800</xdr:colOff>
          <xdr:row>27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2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26</xdr:row>
          <xdr:rowOff>177800</xdr:rowOff>
        </xdr:from>
        <xdr:to>
          <xdr:col>12</xdr:col>
          <xdr:colOff>330200</xdr:colOff>
          <xdr:row>28</xdr:row>
          <xdr:rowOff>25400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2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27</xdr:row>
          <xdr:rowOff>177800</xdr:rowOff>
        </xdr:from>
        <xdr:to>
          <xdr:col>12</xdr:col>
          <xdr:colOff>342900</xdr:colOff>
          <xdr:row>29</xdr:row>
          <xdr:rowOff>25400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2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29</xdr:row>
          <xdr:rowOff>0</xdr:rowOff>
        </xdr:from>
        <xdr:to>
          <xdr:col>12</xdr:col>
          <xdr:colOff>304800</xdr:colOff>
          <xdr:row>30</xdr:row>
          <xdr:rowOff>25400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2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30</xdr:row>
          <xdr:rowOff>0</xdr:rowOff>
        </xdr:from>
        <xdr:to>
          <xdr:col>12</xdr:col>
          <xdr:colOff>292100</xdr:colOff>
          <xdr:row>31</xdr:row>
          <xdr:rowOff>25400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2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31</xdr:row>
          <xdr:rowOff>0</xdr:rowOff>
        </xdr:from>
        <xdr:to>
          <xdr:col>12</xdr:col>
          <xdr:colOff>342900</xdr:colOff>
          <xdr:row>32</xdr:row>
          <xdr:rowOff>25400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2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32</xdr:row>
          <xdr:rowOff>25400</xdr:rowOff>
        </xdr:from>
        <xdr:to>
          <xdr:col>12</xdr:col>
          <xdr:colOff>330200</xdr:colOff>
          <xdr:row>33</xdr:row>
          <xdr:rowOff>25400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2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45</xdr:row>
          <xdr:rowOff>0</xdr:rowOff>
        </xdr:from>
        <xdr:to>
          <xdr:col>12</xdr:col>
          <xdr:colOff>368300</xdr:colOff>
          <xdr:row>46</xdr:row>
          <xdr:rowOff>25400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2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46</xdr:row>
          <xdr:rowOff>25400</xdr:rowOff>
        </xdr:from>
        <xdr:to>
          <xdr:col>12</xdr:col>
          <xdr:colOff>330200</xdr:colOff>
          <xdr:row>47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2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47</xdr:row>
          <xdr:rowOff>0</xdr:rowOff>
        </xdr:from>
        <xdr:to>
          <xdr:col>12</xdr:col>
          <xdr:colOff>330200</xdr:colOff>
          <xdr:row>47</xdr:row>
          <xdr:rowOff>177800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2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48</xdr:row>
          <xdr:rowOff>0</xdr:rowOff>
        </xdr:from>
        <xdr:to>
          <xdr:col>12</xdr:col>
          <xdr:colOff>342900</xdr:colOff>
          <xdr:row>48</xdr:row>
          <xdr:rowOff>177800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2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49</xdr:row>
          <xdr:rowOff>25400</xdr:rowOff>
        </xdr:from>
        <xdr:to>
          <xdr:col>12</xdr:col>
          <xdr:colOff>368300</xdr:colOff>
          <xdr:row>50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2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50</xdr:row>
          <xdr:rowOff>0</xdr:rowOff>
        </xdr:from>
        <xdr:to>
          <xdr:col>12</xdr:col>
          <xdr:colOff>368300</xdr:colOff>
          <xdr:row>51</xdr:row>
          <xdr:rowOff>25400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2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51</xdr:row>
          <xdr:rowOff>0</xdr:rowOff>
        </xdr:from>
        <xdr:to>
          <xdr:col>12</xdr:col>
          <xdr:colOff>330200</xdr:colOff>
          <xdr:row>52</xdr:row>
          <xdr:rowOff>25400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2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52</xdr:row>
          <xdr:rowOff>0</xdr:rowOff>
        </xdr:from>
        <xdr:to>
          <xdr:col>12</xdr:col>
          <xdr:colOff>330200</xdr:colOff>
          <xdr:row>53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2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177800</xdr:rowOff>
        </xdr:from>
        <xdr:to>
          <xdr:col>0</xdr:col>
          <xdr:colOff>292100</xdr:colOff>
          <xdr:row>39</xdr:row>
          <xdr:rowOff>25400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2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</xdr:row>
          <xdr:rowOff>25400</xdr:rowOff>
        </xdr:from>
        <xdr:to>
          <xdr:col>0</xdr:col>
          <xdr:colOff>254000</xdr:colOff>
          <xdr:row>34</xdr:row>
          <xdr:rowOff>38100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2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38100</xdr:rowOff>
        </xdr:from>
        <xdr:to>
          <xdr:col>0</xdr:col>
          <xdr:colOff>254000</xdr:colOff>
          <xdr:row>35</xdr:row>
          <xdr:rowOff>25400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2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0</xdr:rowOff>
        </xdr:from>
        <xdr:to>
          <xdr:col>0</xdr:col>
          <xdr:colOff>266700</xdr:colOff>
          <xdr:row>36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2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25400</xdr:rowOff>
        </xdr:from>
        <xdr:to>
          <xdr:col>0</xdr:col>
          <xdr:colOff>254000</xdr:colOff>
          <xdr:row>37</xdr:row>
          <xdr:rowOff>25400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2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0</xdr:rowOff>
        </xdr:from>
        <xdr:to>
          <xdr:col>0</xdr:col>
          <xdr:colOff>266700</xdr:colOff>
          <xdr:row>38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2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177800</xdr:rowOff>
        </xdr:from>
        <xdr:to>
          <xdr:col>0</xdr:col>
          <xdr:colOff>292100</xdr:colOff>
          <xdr:row>39</xdr:row>
          <xdr:rowOff>25400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2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25400</xdr:rowOff>
        </xdr:from>
        <xdr:to>
          <xdr:col>0</xdr:col>
          <xdr:colOff>254000</xdr:colOff>
          <xdr:row>40</xdr:row>
          <xdr:rowOff>25400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2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25400</xdr:rowOff>
        </xdr:from>
        <xdr:to>
          <xdr:col>0</xdr:col>
          <xdr:colOff>254000</xdr:colOff>
          <xdr:row>41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2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33</xdr:row>
          <xdr:rowOff>25400</xdr:rowOff>
        </xdr:from>
        <xdr:to>
          <xdr:col>12</xdr:col>
          <xdr:colOff>304800</xdr:colOff>
          <xdr:row>34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2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34</xdr:row>
          <xdr:rowOff>0</xdr:rowOff>
        </xdr:from>
        <xdr:to>
          <xdr:col>12</xdr:col>
          <xdr:colOff>304800</xdr:colOff>
          <xdr:row>35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2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34</xdr:row>
          <xdr:rowOff>177800</xdr:rowOff>
        </xdr:from>
        <xdr:to>
          <xdr:col>12</xdr:col>
          <xdr:colOff>330200</xdr:colOff>
          <xdr:row>36</xdr:row>
          <xdr:rowOff>25400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2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35</xdr:row>
          <xdr:rowOff>177800</xdr:rowOff>
        </xdr:from>
        <xdr:to>
          <xdr:col>12</xdr:col>
          <xdr:colOff>342900</xdr:colOff>
          <xdr:row>37</xdr:row>
          <xdr:rowOff>25400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2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37</xdr:row>
          <xdr:rowOff>0</xdr:rowOff>
        </xdr:from>
        <xdr:to>
          <xdr:col>12</xdr:col>
          <xdr:colOff>304800</xdr:colOff>
          <xdr:row>38</xdr:row>
          <xdr:rowOff>25400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2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38</xdr:row>
          <xdr:rowOff>0</xdr:rowOff>
        </xdr:from>
        <xdr:to>
          <xdr:col>12</xdr:col>
          <xdr:colOff>292100</xdr:colOff>
          <xdr:row>39</xdr:row>
          <xdr:rowOff>25400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2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39</xdr:row>
          <xdr:rowOff>0</xdr:rowOff>
        </xdr:from>
        <xdr:to>
          <xdr:col>12</xdr:col>
          <xdr:colOff>342900</xdr:colOff>
          <xdr:row>40</xdr:row>
          <xdr:rowOff>25400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2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40</xdr:row>
          <xdr:rowOff>25400</xdr:rowOff>
        </xdr:from>
        <xdr:to>
          <xdr:col>12</xdr:col>
          <xdr:colOff>330200</xdr:colOff>
          <xdr:row>41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2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53</xdr:row>
          <xdr:rowOff>0</xdr:rowOff>
        </xdr:from>
        <xdr:to>
          <xdr:col>12</xdr:col>
          <xdr:colOff>368300</xdr:colOff>
          <xdr:row>54</xdr:row>
          <xdr:rowOff>25400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2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54</xdr:row>
          <xdr:rowOff>25400</xdr:rowOff>
        </xdr:from>
        <xdr:to>
          <xdr:col>12</xdr:col>
          <xdr:colOff>330200</xdr:colOff>
          <xdr:row>55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2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55</xdr:row>
          <xdr:rowOff>0</xdr:rowOff>
        </xdr:from>
        <xdr:to>
          <xdr:col>12</xdr:col>
          <xdr:colOff>330200</xdr:colOff>
          <xdr:row>55</xdr:row>
          <xdr:rowOff>177800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2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56</xdr:row>
          <xdr:rowOff>0</xdr:rowOff>
        </xdr:from>
        <xdr:to>
          <xdr:col>12</xdr:col>
          <xdr:colOff>342900</xdr:colOff>
          <xdr:row>56</xdr:row>
          <xdr:rowOff>177800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2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57</xdr:row>
          <xdr:rowOff>25400</xdr:rowOff>
        </xdr:from>
        <xdr:to>
          <xdr:col>12</xdr:col>
          <xdr:colOff>368300</xdr:colOff>
          <xdr:row>58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2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58</xdr:row>
          <xdr:rowOff>0</xdr:rowOff>
        </xdr:from>
        <xdr:to>
          <xdr:col>12</xdr:col>
          <xdr:colOff>368300</xdr:colOff>
          <xdr:row>59</xdr:row>
          <xdr:rowOff>25400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2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59</xdr:row>
          <xdr:rowOff>0</xdr:rowOff>
        </xdr:from>
        <xdr:to>
          <xdr:col>12</xdr:col>
          <xdr:colOff>330200</xdr:colOff>
          <xdr:row>60</xdr:row>
          <xdr:rowOff>25400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2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139700</xdr:colOff>
          <xdr:row>60</xdr:row>
          <xdr:rowOff>0</xdr:rowOff>
        </xdr:from>
        <xdr:to>
          <xdr:col>12</xdr:col>
          <xdr:colOff>330200</xdr:colOff>
          <xdr:row>60</xdr:row>
          <xdr:rowOff>190500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2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53</xdr:row>
          <xdr:rowOff>25400</xdr:rowOff>
        </xdr:from>
        <xdr:to>
          <xdr:col>0</xdr:col>
          <xdr:colOff>266700</xdr:colOff>
          <xdr:row>54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2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54</xdr:row>
          <xdr:rowOff>25400</xdr:rowOff>
        </xdr:from>
        <xdr:to>
          <xdr:col>0</xdr:col>
          <xdr:colOff>254000</xdr:colOff>
          <xdr:row>55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2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55</xdr:row>
          <xdr:rowOff>25400</xdr:rowOff>
        </xdr:from>
        <xdr:to>
          <xdr:col>0</xdr:col>
          <xdr:colOff>254000</xdr:colOff>
          <xdr:row>55</xdr:row>
          <xdr:rowOff>139700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2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56</xdr:row>
          <xdr:rowOff>0</xdr:rowOff>
        </xdr:from>
        <xdr:to>
          <xdr:col>0</xdr:col>
          <xdr:colOff>266700</xdr:colOff>
          <xdr:row>56</xdr:row>
          <xdr:rowOff>177800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2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57</xdr:row>
          <xdr:rowOff>0</xdr:rowOff>
        </xdr:from>
        <xdr:to>
          <xdr:col>0</xdr:col>
          <xdr:colOff>292100</xdr:colOff>
          <xdr:row>58</xdr:row>
          <xdr:rowOff>25400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2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58</xdr:row>
          <xdr:rowOff>0</xdr:rowOff>
        </xdr:from>
        <xdr:to>
          <xdr:col>0</xdr:col>
          <xdr:colOff>292100</xdr:colOff>
          <xdr:row>59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2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59</xdr:row>
          <xdr:rowOff>0</xdr:rowOff>
        </xdr:from>
        <xdr:to>
          <xdr:col>0</xdr:col>
          <xdr:colOff>254000</xdr:colOff>
          <xdr:row>60</xdr:row>
          <xdr:rowOff>25400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2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60</xdr:row>
          <xdr:rowOff>0</xdr:rowOff>
        </xdr:from>
        <xdr:to>
          <xdr:col>0</xdr:col>
          <xdr:colOff>292100</xdr:colOff>
          <xdr:row>61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2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65</xdr:row>
          <xdr:rowOff>0</xdr:rowOff>
        </xdr:from>
        <xdr:to>
          <xdr:col>0</xdr:col>
          <xdr:colOff>292100</xdr:colOff>
          <xdr:row>66</xdr:row>
          <xdr:rowOff>38100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2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66</xdr:row>
          <xdr:rowOff>0</xdr:rowOff>
        </xdr:from>
        <xdr:to>
          <xdr:col>0</xdr:col>
          <xdr:colOff>266700</xdr:colOff>
          <xdr:row>66</xdr:row>
          <xdr:rowOff>177800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2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67</xdr:row>
          <xdr:rowOff>25400</xdr:rowOff>
        </xdr:from>
        <xdr:to>
          <xdr:col>0</xdr:col>
          <xdr:colOff>266700</xdr:colOff>
          <xdr:row>68</xdr:row>
          <xdr:rowOff>38100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2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68</xdr:row>
          <xdr:rowOff>38100</xdr:rowOff>
        </xdr:from>
        <xdr:to>
          <xdr:col>0</xdr:col>
          <xdr:colOff>292100</xdr:colOff>
          <xdr:row>69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2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69</xdr:row>
          <xdr:rowOff>0</xdr:rowOff>
        </xdr:from>
        <xdr:to>
          <xdr:col>0</xdr:col>
          <xdr:colOff>254000</xdr:colOff>
          <xdr:row>70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2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71</xdr:row>
          <xdr:rowOff>25400</xdr:rowOff>
        </xdr:from>
        <xdr:to>
          <xdr:col>0</xdr:col>
          <xdr:colOff>254000</xdr:colOff>
          <xdr:row>71</xdr:row>
          <xdr:rowOff>190500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2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72</xdr:row>
          <xdr:rowOff>25400</xdr:rowOff>
        </xdr:from>
        <xdr:to>
          <xdr:col>0</xdr:col>
          <xdr:colOff>254000</xdr:colOff>
          <xdr:row>72</xdr:row>
          <xdr:rowOff>190500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2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70</xdr:row>
          <xdr:rowOff>25400</xdr:rowOff>
        </xdr:from>
        <xdr:to>
          <xdr:col>0</xdr:col>
          <xdr:colOff>266700</xdr:colOff>
          <xdr:row>71</xdr:row>
          <xdr:rowOff>25400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2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73</xdr:row>
          <xdr:rowOff>0</xdr:rowOff>
        </xdr:from>
        <xdr:to>
          <xdr:col>0</xdr:col>
          <xdr:colOff>254000</xdr:colOff>
          <xdr:row>74</xdr:row>
          <xdr:rowOff>25400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2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74</xdr:row>
          <xdr:rowOff>0</xdr:rowOff>
        </xdr:from>
        <xdr:to>
          <xdr:col>0</xdr:col>
          <xdr:colOff>330200</xdr:colOff>
          <xdr:row>74</xdr:row>
          <xdr:rowOff>190500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2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75</xdr:row>
          <xdr:rowOff>25400</xdr:rowOff>
        </xdr:from>
        <xdr:to>
          <xdr:col>0</xdr:col>
          <xdr:colOff>330200</xdr:colOff>
          <xdr:row>75</xdr:row>
          <xdr:rowOff>190500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2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76</xdr:row>
          <xdr:rowOff>0</xdr:rowOff>
        </xdr:from>
        <xdr:to>
          <xdr:col>0</xdr:col>
          <xdr:colOff>292100</xdr:colOff>
          <xdr:row>77</xdr:row>
          <xdr:rowOff>25400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2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77</xdr:row>
          <xdr:rowOff>0</xdr:rowOff>
        </xdr:from>
        <xdr:to>
          <xdr:col>0</xdr:col>
          <xdr:colOff>330200</xdr:colOff>
          <xdr:row>78</xdr:row>
          <xdr:rowOff>25400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2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78</xdr:row>
          <xdr:rowOff>0</xdr:rowOff>
        </xdr:from>
        <xdr:to>
          <xdr:col>0</xdr:col>
          <xdr:colOff>292100</xdr:colOff>
          <xdr:row>79</xdr:row>
          <xdr:rowOff>25400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2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79</xdr:row>
          <xdr:rowOff>0</xdr:rowOff>
        </xdr:from>
        <xdr:to>
          <xdr:col>0</xdr:col>
          <xdr:colOff>304800</xdr:colOff>
          <xdr:row>80</xdr:row>
          <xdr:rowOff>25400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2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80</xdr:row>
          <xdr:rowOff>0</xdr:rowOff>
        </xdr:from>
        <xdr:to>
          <xdr:col>0</xdr:col>
          <xdr:colOff>292100</xdr:colOff>
          <xdr:row>81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2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65</xdr:row>
          <xdr:rowOff>0</xdr:rowOff>
        </xdr:from>
        <xdr:to>
          <xdr:col>12</xdr:col>
          <xdr:colOff>292100</xdr:colOff>
          <xdr:row>66</xdr:row>
          <xdr:rowOff>38100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2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66</xdr:row>
          <xdr:rowOff>0</xdr:rowOff>
        </xdr:from>
        <xdr:to>
          <xdr:col>12</xdr:col>
          <xdr:colOff>266700</xdr:colOff>
          <xdr:row>66</xdr:row>
          <xdr:rowOff>177800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2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66</xdr:row>
          <xdr:rowOff>177800</xdr:rowOff>
        </xdr:from>
        <xdr:to>
          <xdr:col>12</xdr:col>
          <xdr:colOff>266700</xdr:colOff>
          <xdr:row>68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2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68</xdr:row>
          <xdr:rowOff>38100</xdr:rowOff>
        </xdr:from>
        <xdr:to>
          <xdr:col>12</xdr:col>
          <xdr:colOff>292100</xdr:colOff>
          <xdr:row>69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2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69</xdr:row>
          <xdr:rowOff>0</xdr:rowOff>
        </xdr:from>
        <xdr:to>
          <xdr:col>12</xdr:col>
          <xdr:colOff>254000</xdr:colOff>
          <xdr:row>70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2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71</xdr:row>
          <xdr:rowOff>25400</xdr:rowOff>
        </xdr:from>
        <xdr:to>
          <xdr:col>12</xdr:col>
          <xdr:colOff>254000</xdr:colOff>
          <xdr:row>71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2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72</xdr:row>
          <xdr:rowOff>25400</xdr:rowOff>
        </xdr:from>
        <xdr:to>
          <xdr:col>12</xdr:col>
          <xdr:colOff>254000</xdr:colOff>
          <xdr:row>72</xdr:row>
          <xdr:rowOff>190500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2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70</xdr:row>
          <xdr:rowOff>25400</xdr:rowOff>
        </xdr:from>
        <xdr:to>
          <xdr:col>12</xdr:col>
          <xdr:colOff>266700</xdr:colOff>
          <xdr:row>71</xdr:row>
          <xdr:rowOff>25400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2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73</xdr:row>
          <xdr:rowOff>0</xdr:rowOff>
        </xdr:from>
        <xdr:to>
          <xdr:col>12</xdr:col>
          <xdr:colOff>254000</xdr:colOff>
          <xdr:row>74</xdr:row>
          <xdr:rowOff>25400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2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74</xdr:row>
          <xdr:rowOff>0</xdr:rowOff>
        </xdr:from>
        <xdr:to>
          <xdr:col>12</xdr:col>
          <xdr:colOff>330200</xdr:colOff>
          <xdr:row>74</xdr:row>
          <xdr:rowOff>190500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2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75</xdr:row>
          <xdr:rowOff>25400</xdr:rowOff>
        </xdr:from>
        <xdr:to>
          <xdr:col>12</xdr:col>
          <xdr:colOff>330200</xdr:colOff>
          <xdr:row>75</xdr:row>
          <xdr:rowOff>190500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2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76</xdr:row>
          <xdr:rowOff>0</xdr:rowOff>
        </xdr:from>
        <xdr:to>
          <xdr:col>12</xdr:col>
          <xdr:colOff>292100</xdr:colOff>
          <xdr:row>77</xdr:row>
          <xdr:rowOff>25400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2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77</xdr:row>
          <xdr:rowOff>0</xdr:rowOff>
        </xdr:from>
        <xdr:to>
          <xdr:col>12</xdr:col>
          <xdr:colOff>330200</xdr:colOff>
          <xdr:row>78</xdr:row>
          <xdr:rowOff>25400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2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78</xdr:row>
          <xdr:rowOff>0</xdr:rowOff>
        </xdr:from>
        <xdr:to>
          <xdr:col>12</xdr:col>
          <xdr:colOff>292100</xdr:colOff>
          <xdr:row>79</xdr:row>
          <xdr:rowOff>25400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2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79</xdr:row>
          <xdr:rowOff>0</xdr:rowOff>
        </xdr:from>
        <xdr:to>
          <xdr:col>12</xdr:col>
          <xdr:colOff>304800</xdr:colOff>
          <xdr:row>80</xdr:row>
          <xdr:rowOff>25400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2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80</xdr:row>
          <xdr:rowOff>0</xdr:rowOff>
        </xdr:from>
        <xdr:to>
          <xdr:col>12</xdr:col>
          <xdr:colOff>292100</xdr:colOff>
          <xdr:row>81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2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fedu-my.sharepoint.com/Users/rkim2/Box/Rose/URA/budget-preparation-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-1"/>
      <sheetName val="P-2"/>
      <sheetName val="P-3"/>
      <sheetName val="P-4"/>
      <sheetName val="P-5"/>
      <sheetName val="NonP(1-5)"/>
      <sheetName val="Summary 1-5"/>
      <sheetName val="PHS-style Summary"/>
      <sheetName val="Sub"/>
      <sheetName val="Reference"/>
    </sheetNames>
    <sheetDataSet>
      <sheetData sheetId="0" refreshError="1">
        <row r="23">
          <cell r="D23">
            <v>0.03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AA75"/>
  <sheetViews>
    <sheetView tabSelected="1" zoomScale="80" zoomScaleNormal="80" workbookViewId="0">
      <selection activeCell="G49" sqref="G49"/>
    </sheetView>
  </sheetViews>
  <sheetFormatPr defaultColWidth="8.54296875" defaultRowHeight="14.5"/>
  <cols>
    <col min="1" max="1" width="40.1796875" bestFit="1" customWidth="1"/>
    <col min="2" max="2" width="10.36328125" customWidth="1"/>
    <col min="3" max="3" width="9" customWidth="1"/>
    <col min="4" max="4" width="4.54296875" customWidth="1"/>
    <col min="5" max="5" width="13.1796875" customWidth="1"/>
    <col min="6" max="6" width="15.54296875" customWidth="1"/>
    <col min="7" max="7" width="16.36328125" bestFit="1" customWidth="1"/>
    <col min="8" max="11" width="16.36328125" customWidth="1"/>
    <col min="12" max="12" width="11.1796875" style="57" bestFit="1" customWidth="1"/>
    <col min="13" max="13" width="2.36328125" customWidth="1"/>
    <col min="14" max="14" width="27.36328125" bestFit="1" customWidth="1"/>
    <col min="15" max="15" width="12.54296875" bestFit="1" customWidth="1"/>
    <col min="16" max="16" width="12.54296875" customWidth="1"/>
    <col min="17" max="17" width="16.36328125" bestFit="1" customWidth="1"/>
    <col min="18" max="18" width="12.54296875" bestFit="1" customWidth="1"/>
    <col min="20" max="20" width="16.36328125" bestFit="1" customWidth="1"/>
    <col min="21" max="21" width="9.54296875" bestFit="1" customWidth="1"/>
    <col min="27" max="27" width="7.36328125" customWidth="1"/>
  </cols>
  <sheetData>
    <row r="1" spans="1:27" s="2" customFormat="1" ht="15" thickBot="1">
      <c r="A1" s="164" t="s">
        <v>72</v>
      </c>
      <c r="B1" s="49"/>
      <c r="C1" s="150"/>
      <c r="E1" s="62" t="s">
        <v>4</v>
      </c>
      <c r="F1" s="62" t="s">
        <v>5</v>
      </c>
      <c r="G1" s="62" t="s">
        <v>23</v>
      </c>
      <c r="H1" s="62" t="s">
        <v>47</v>
      </c>
      <c r="I1" s="62" t="s">
        <v>48</v>
      </c>
      <c r="J1" s="62" t="s">
        <v>97</v>
      </c>
      <c r="L1" s="56" t="s">
        <v>21</v>
      </c>
      <c r="N1" s="63" t="s">
        <v>90</v>
      </c>
      <c r="O1" s="286"/>
      <c r="P1" s="287"/>
      <c r="Q1" s="287"/>
      <c r="R1" s="287"/>
      <c r="S1" s="287"/>
      <c r="T1" s="287"/>
      <c r="U1" s="287"/>
      <c r="V1" s="287"/>
      <c r="W1" s="287"/>
      <c r="X1" s="287"/>
      <c r="Y1" s="288"/>
      <c r="Z1" s="74"/>
      <c r="AA1"/>
    </row>
    <row r="2" spans="1:27" ht="15" thickBot="1">
      <c r="A2" s="164" t="s">
        <v>88</v>
      </c>
      <c r="B2" s="49"/>
      <c r="C2" s="165"/>
      <c r="D2" s="17"/>
      <c r="E2" s="5" t="s">
        <v>178</v>
      </c>
      <c r="F2" s="5"/>
      <c r="G2" s="5"/>
      <c r="H2" s="5"/>
      <c r="I2" s="5"/>
      <c r="J2" s="5"/>
      <c r="K2" s="5"/>
      <c r="N2" s="63" t="s">
        <v>91</v>
      </c>
      <c r="O2" s="289"/>
      <c r="P2" s="290"/>
      <c r="Q2" s="290"/>
      <c r="R2" s="290"/>
      <c r="S2" s="290"/>
      <c r="T2" s="290"/>
      <c r="U2" s="290"/>
      <c r="V2" s="290"/>
      <c r="W2" s="290"/>
      <c r="X2" s="290"/>
      <c r="Y2" s="291"/>
      <c r="Z2" s="74"/>
    </row>
    <row r="3" spans="1:27" ht="15" thickBot="1">
      <c r="D3" s="17"/>
      <c r="E3" s="218"/>
      <c r="F3" s="48" t="str">
        <f>IF(AND(E3&lt;&gt;"",C1&gt;1),DATE(YEAR(E3)+1,MONTH(E3),DAY(E3)),"-")</f>
        <v>-</v>
      </c>
      <c r="G3" s="48" t="str">
        <f>IF(AND(E3&lt;&gt;"",C1&gt;2),DATE(YEAR(F3)+1,MONTH(F3),DAY(F3)),"-")</f>
        <v>-</v>
      </c>
      <c r="H3" s="48" t="str">
        <f>IF(AND(E3&lt;&gt;"",C1&gt;3),DATE(YEAR(G3)+1,MONTH(G3),DAY(G3)),"-")</f>
        <v>-</v>
      </c>
      <c r="I3" s="48" t="str">
        <f>IF(AND(E3&lt;&gt;"",C1&gt;4),DATE(YEAR(H3)+1,MONTH(H3),DAY(H3)),"-")</f>
        <v>-</v>
      </c>
      <c r="J3" s="48" t="str">
        <f>IF(AND(E3&lt;&gt;"",C1&gt;5),DATE(YEAR(I3)+1,MONTH(I3),DAY(I3)),"-")</f>
        <v>-</v>
      </c>
      <c r="K3" s="5"/>
      <c r="N3" s="63" t="s">
        <v>95</v>
      </c>
      <c r="O3" s="292"/>
      <c r="P3" s="287"/>
      <c r="Q3" s="287"/>
      <c r="R3" s="287"/>
      <c r="S3" s="287"/>
      <c r="T3" s="287"/>
      <c r="U3" s="287"/>
      <c r="V3" s="287"/>
      <c r="W3" s="287"/>
      <c r="X3" s="287"/>
      <c r="Y3" s="288"/>
      <c r="Z3" s="74"/>
    </row>
    <row r="4" spans="1:27" ht="15" thickBot="1">
      <c r="E4" s="5"/>
      <c r="F4" s="5"/>
      <c r="G4" s="5"/>
      <c r="H4" s="5"/>
      <c r="I4" s="5"/>
      <c r="J4" s="5"/>
      <c r="K4" s="5"/>
      <c r="N4" s="64" t="s">
        <v>94</v>
      </c>
      <c r="O4" s="292"/>
      <c r="P4" s="287"/>
      <c r="Q4" s="287"/>
      <c r="R4" s="287"/>
      <c r="S4" s="287"/>
      <c r="T4" s="287"/>
      <c r="U4" s="287"/>
      <c r="V4" s="287"/>
      <c r="W4" s="287"/>
      <c r="X4" s="287"/>
      <c r="Y4" s="288"/>
      <c r="Z4" s="74"/>
    </row>
    <row r="5" spans="1:27">
      <c r="A5" s="1" t="s">
        <v>136</v>
      </c>
      <c r="B5" s="1"/>
      <c r="C5" s="1"/>
      <c r="D5" s="1"/>
      <c r="E5" s="5"/>
      <c r="F5" s="5"/>
      <c r="G5" s="5"/>
      <c r="H5" s="5"/>
      <c r="I5" s="5"/>
      <c r="J5" s="5"/>
      <c r="K5" s="5"/>
      <c r="N5" s="293" t="s">
        <v>99</v>
      </c>
      <c r="O5" s="293"/>
      <c r="P5" s="293"/>
      <c r="Q5" s="293"/>
      <c r="R5" s="293"/>
      <c r="S5" s="293"/>
      <c r="T5" s="294"/>
      <c r="U5" s="294"/>
      <c r="V5" s="294"/>
      <c r="W5" s="294"/>
      <c r="X5" s="294"/>
      <c r="Y5" s="294"/>
    </row>
    <row r="6" spans="1:27">
      <c r="A6" t="str">
        <f>IF('Salary Worksheet'!$B6&lt;&gt;"",'Salary Worksheet'!$B6,"")</f>
        <v/>
      </c>
      <c r="E6" s="6">
        <f>ROUND(IF(AND($C$1&gt;=1,'Salary Worksheet'!AQ1=TRUE), ('Salary Worksheet'!$I26+'Course Buyout'!C12+'Course Buyout'!C16),0),0)</f>
        <v>0</v>
      </c>
      <c r="F6" s="6">
        <f>ROUND(IF(AND($C$1&gt;=2,'Salary Worksheet'!AR1=TRUE), ('Salary Worksheet'!$U26+'Course Buyout'!D12+'Course Buyout'!D16),0),0)</f>
        <v>0</v>
      </c>
      <c r="G6" s="6">
        <f>ROUND(IF(AND($C$1&gt;=3,'Salary Worksheet'!AS1=TRUE), ('Salary Worksheet'!$I46+'Course Buyout'!E12+'Course Buyout'!E16),0),0)</f>
        <v>0</v>
      </c>
      <c r="H6" s="6">
        <f>ROUND(IF(AND($C$1&gt;=4,'Salary Worksheet'!AT1=TRUE), ('Salary Worksheet'!$U26+'Course Buyout'!F12+'Course Buyout'!F16),0),0)</f>
        <v>0</v>
      </c>
      <c r="I6" s="6">
        <f>ROUND(IF(AND($C$1&gt;=5,'Salary Worksheet'!AU1=TRUE), ('Salary Worksheet'!$I66+'Course Buyout'!G12+'Course Buyout'!G16),0),0)</f>
        <v>0</v>
      </c>
      <c r="J6" s="6">
        <f>ROUND(IF(AND($C$1&gt;=6,'Salary Worksheet'!AV1=TRUE), ('Salary Worksheet'!$U26+'Course Buyout'!H12+'Course Buyout'!H16),0),0)</f>
        <v>0</v>
      </c>
      <c r="K6" s="6"/>
      <c r="L6" s="57">
        <f>SUM(E6:J6,0)</f>
        <v>0</v>
      </c>
      <c r="N6" s="295"/>
      <c r="O6" s="295"/>
      <c r="P6" s="295"/>
      <c r="Q6" s="295"/>
      <c r="R6" s="295"/>
      <c r="S6" s="295"/>
      <c r="T6" s="296"/>
      <c r="U6" s="296"/>
      <c r="V6" s="296"/>
      <c r="W6" s="296"/>
      <c r="X6" s="296"/>
      <c r="Y6" s="296"/>
    </row>
    <row r="7" spans="1:27">
      <c r="A7" t="str">
        <f>IF('Salary Worksheet'!$B7&lt;&gt;"",'Salary Worksheet'!$B7,"")</f>
        <v/>
      </c>
      <c r="E7" s="6">
        <f>ROUND(IF(AND($C$1&gt;=1,'Salary Worksheet'!AQ2=TRUE), ('Salary Worksheet'!$I27+'Course Buyout'!C26+'Course Buyout'!C30),0),0)</f>
        <v>0</v>
      </c>
      <c r="F7" s="6">
        <f>ROUND(IF(AND($C$1&gt;=2,'Salary Worksheet'!AR2=TRUE), ('Salary Worksheet'!$U27+'Course Buyout'!D26+'Course Buyout'!D30),0),0)</f>
        <v>0</v>
      </c>
      <c r="G7" s="6">
        <f>ROUND(IF(AND($C$1&gt;=3,'Salary Worksheet'!AS2=TRUE), ('Salary Worksheet'!$I47+'Course Buyout'!E26+'Course Buyout'!E30),0),0)</f>
        <v>0</v>
      </c>
      <c r="H7" s="6">
        <f>ROUND(IF(AND($C$1&gt;=4,'Salary Worksheet'!AT2=TRUE), ('Salary Worksheet'!$U47+'Course Buyout'!F26+'Course Buyout'!F30),0),0)</f>
        <v>0</v>
      </c>
      <c r="I7" s="6">
        <f>ROUND(IF(AND($C$1&gt;=5,'Salary Worksheet'!AU2=TRUE), ('Salary Worksheet'!$I67+'Course Buyout'!G26+'Course Buyout'!G30),0),0)</f>
        <v>0</v>
      </c>
      <c r="J7" s="6">
        <f>ROUND(IF(AND($C$1&gt;=6,'Salary Worksheet'!AV2=TRUE), ('Salary Worksheet'!$U67+'Course Buyout'!H26+'Course Buyout'!H30),0),0)</f>
        <v>0</v>
      </c>
      <c r="K7" s="6"/>
      <c r="L7" s="57">
        <f>SUM(E7:J7,0)</f>
        <v>0</v>
      </c>
      <c r="N7" s="295"/>
      <c r="O7" s="295"/>
      <c r="P7" s="295"/>
      <c r="Q7" s="295"/>
      <c r="R7" s="295"/>
      <c r="S7" s="295"/>
      <c r="T7" s="296"/>
      <c r="U7" s="296"/>
      <c r="V7" s="296"/>
      <c r="W7" s="296"/>
      <c r="X7" s="296"/>
      <c r="Y7" s="296"/>
    </row>
    <row r="8" spans="1:27">
      <c r="A8" t="str">
        <f>IF('Salary Worksheet'!$B8&lt;&gt;"",'Salary Worksheet'!$B8,"")</f>
        <v/>
      </c>
      <c r="E8" s="6">
        <f>ROUND(IF(AND($C$1&gt;=1,'Salary Worksheet'!AQ3=TRUE), ('Salary Worksheet'!$I28+ 'Course Buyout'!C40+'Course Buyout'!C44),0),0)</f>
        <v>0</v>
      </c>
      <c r="F8" s="6">
        <f>ROUND(IF(AND($C$1&gt;=2,'Salary Worksheet'!AR3=TRUE), ('Salary Worksheet'!$U28+ 'Course Buyout'!D40+'Course Buyout'!D44),0),0)</f>
        <v>0</v>
      </c>
      <c r="G8" s="6">
        <f>ROUND(IF(AND($C$1&gt;=3,'Salary Worksheet'!AS3=TRUE), ('Salary Worksheet'!$I48+ 'Course Buyout'!E40+'Course Buyout'!E44),0),0)</f>
        <v>0</v>
      </c>
      <c r="H8" s="6">
        <f>ROUND(IF(AND($C$1&gt;=4,'Salary Worksheet'!AT3=TRUE), ('Salary Worksheet'!$U48+ 'Course Buyout'!F40+'Course Buyout'!F44),0),0)</f>
        <v>0</v>
      </c>
      <c r="I8" s="6">
        <f>ROUND(IF(AND($C$1&gt;=5,'Salary Worksheet'!AU3=TRUE), ('Salary Worksheet'!$I68+ 'Course Buyout'!G40+'Course Buyout'!G44),0),0)</f>
        <v>0</v>
      </c>
      <c r="J8" s="6">
        <f>ROUND(IF(AND($C$1&gt;=6,'Salary Worksheet'!AV3=TRUE), ('Salary Worksheet'!$U68+ 'Course Buyout'!H40+'Course Buyout'!H44),0),0)</f>
        <v>0</v>
      </c>
      <c r="K8" s="6"/>
      <c r="L8" s="57">
        <f t="shared" ref="L8:L20" si="0">SUM(E8:J8,0)</f>
        <v>0</v>
      </c>
      <c r="N8" s="295"/>
      <c r="O8" s="295"/>
      <c r="P8" s="295"/>
      <c r="Q8" s="295"/>
      <c r="R8" s="295"/>
      <c r="S8" s="295"/>
      <c r="T8" s="296"/>
      <c r="U8" s="296"/>
      <c r="V8" s="296"/>
      <c r="W8" s="296"/>
      <c r="X8" s="296"/>
      <c r="Y8" s="296"/>
    </row>
    <row r="9" spans="1:27">
      <c r="A9" t="str">
        <f>IF('Salary Worksheet'!$B9&lt;&gt;"",'Salary Worksheet'!$B9,"")</f>
        <v/>
      </c>
      <c r="E9" s="6">
        <f>ROUND(IF(AND($C$1&gt;=1,'Salary Worksheet'!AQ4=TRUE), ('Salary Worksheet'!$I29+'Course Buyout'!C54+'Course Buyout'!C58),0),0)</f>
        <v>0</v>
      </c>
      <c r="F9" s="6">
        <f>ROUND(IF(AND($C$1&gt;=2,'Salary Worksheet'!AR4=TRUE), ('Salary Worksheet'!$U29+'Course Buyout'!D54+'Course Buyout'!D58),0),0)</f>
        <v>0</v>
      </c>
      <c r="G9" s="6">
        <f>ROUND(IF(AND($C$1&gt;=3,'Salary Worksheet'!AS4=TRUE), ('Salary Worksheet'!$I49+'Course Buyout'!E54+'Course Buyout'!E58),0),0)</f>
        <v>0</v>
      </c>
      <c r="H9" s="6">
        <f>ROUND(IF(AND($C$1&gt;=4,'Salary Worksheet'!AT4=TRUE), ('Salary Worksheet'!$U49+'Course Buyout'!F54+'Course Buyout'!F58),0),0)</f>
        <v>0</v>
      </c>
      <c r="I9" s="6">
        <f>ROUND(IF(AND($C$1&gt;=5,'Salary Worksheet'!AU4=TRUE), ('Salary Worksheet'!$I69+'Course Buyout'!G54+'Course Buyout'!G58),0),0)</f>
        <v>0</v>
      </c>
      <c r="J9" s="6">
        <f>ROUND(IF(AND($C$1&gt;=6,'Salary Worksheet'!AV4=TRUE), ('Salary Worksheet'!$U69+'Course Buyout'!H54+'Course Buyout'!H58),0),0)</f>
        <v>0</v>
      </c>
      <c r="K9" s="6"/>
      <c r="L9" s="57">
        <f t="shared" si="0"/>
        <v>0</v>
      </c>
      <c r="N9" s="295"/>
      <c r="O9" s="295"/>
      <c r="P9" s="295"/>
      <c r="Q9" s="295"/>
      <c r="R9" s="295"/>
      <c r="S9" s="295"/>
      <c r="T9" s="296"/>
      <c r="U9" s="296"/>
      <c r="V9" s="296"/>
      <c r="W9" s="296"/>
      <c r="X9" s="296"/>
      <c r="Y9" s="296"/>
    </row>
    <row r="10" spans="1:27">
      <c r="A10" t="str">
        <f>IF('Salary Worksheet'!$B10&lt;&gt;"",'Salary Worksheet'!$B10,"")</f>
        <v/>
      </c>
      <c r="E10" s="6">
        <f>ROUND(IF(AND($C$1&gt;=1,'Salary Worksheet'!AQ5=TRUE), ('Salary Worksheet'!$I30+'Course Buyout'!C68+'Course Buyout'!C72),0),0)</f>
        <v>0</v>
      </c>
      <c r="F10" s="6">
        <f>ROUND(IF(AND($C$1&gt;=2,'Salary Worksheet'!AR5=TRUE), ('Salary Worksheet'!$U30+'Course Buyout'!D68+'Course Buyout'!D72),0),0)</f>
        <v>0</v>
      </c>
      <c r="G10" s="6">
        <f>ROUND(IF(AND($C$1&gt;=3,'Salary Worksheet'!AS5=TRUE), ('Salary Worksheet'!$I50+'Course Buyout'!E68+'Course Buyout'!E72),0),0)</f>
        <v>0</v>
      </c>
      <c r="H10" s="6">
        <f>ROUND(IF(AND($C$1&gt;=4,'Salary Worksheet'!AT5=TRUE), ('Salary Worksheet'!$U50+'Course Buyout'!F68+'Course Buyout'!F72),0),0)</f>
        <v>0</v>
      </c>
      <c r="I10" s="6">
        <f>ROUND(IF(AND($C$1&gt;=5,'Salary Worksheet'!AU5=TRUE), ('Salary Worksheet'!$I70+'Course Buyout'!G68+'Course Buyout'!G72),0),0)</f>
        <v>0</v>
      </c>
      <c r="J10" s="6">
        <f>ROUND(IF(AND($C$1&gt;=6,'Salary Worksheet'!AV5=TRUE), ('Salary Worksheet'!$U70+'Course Buyout'!H68+'Course Buyout'!H72),0),0)</f>
        <v>0</v>
      </c>
      <c r="K10" s="6"/>
      <c r="L10" s="57">
        <f t="shared" si="0"/>
        <v>0</v>
      </c>
    </row>
    <row r="11" spans="1:27">
      <c r="A11" t="str">
        <f>IF('Salary Worksheet'!$B11&lt;&gt;"",'Salary Worksheet'!$B11,"")</f>
        <v/>
      </c>
      <c r="E11" s="6">
        <f>ROUND(IF(AND($C$1&gt;=1,'Salary Worksheet'!AQ6=TRUE), ('Salary Worksheet'!$I31+'Course Buyout'!$C82+'Course Buyout'!$C86),0),0)</f>
        <v>0</v>
      </c>
      <c r="F11" s="6">
        <f>ROUND(IF(AND($C$1&gt;=2,'Salary Worksheet'!AR6=TRUE), ('Salary Worksheet'!$U31+'Course Buyout'!D82+'Course Buyout'!D86),0),0)</f>
        <v>0</v>
      </c>
      <c r="G11" s="6">
        <f>ROUND(IF(AND($C$1&gt;=3,'Salary Worksheet'!AS6=TRUE), ('Salary Worksheet'!$I51+'Course Buyout'!E82+'Course Buyout'!E86),0),0)</f>
        <v>0</v>
      </c>
      <c r="H11" s="6">
        <f>ROUND(IF(AND($C$1&gt;=4,'Salary Worksheet'!AT6=TRUE), ('Salary Worksheet'!$U51+'Course Buyout'!F82+'Course Buyout'!F86),0),0)</f>
        <v>0</v>
      </c>
      <c r="I11" s="6">
        <f>ROUND(IF(AND($C$1&gt;=5,'Salary Worksheet'!AU6=TRUE), ('Salary Worksheet'!$I71+'Course Buyout'!G82+'Course Buyout'!G86),0),0)</f>
        <v>0</v>
      </c>
      <c r="J11" s="6">
        <f>ROUND(IF(AND($C$1&gt;=6,'Salary Worksheet'!AV6=TRUE), ('Salary Worksheet'!$U71+'Course Buyout'!H82+'Course Buyout'!H86),0),0)</f>
        <v>0</v>
      </c>
      <c r="K11" s="6"/>
      <c r="L11" s="57">
        <f>SUM(E11:J11,0)</f>
        <v>0</v>
      </c>
      <c r="N11" s="47"/>
      <c r="O11" s="4"/>
      <c r="P11" s="13"/>
      <c r="R11" s="6"/>
    </row>
    <row r="12" spans="1:27">
      <c r="A12" t="str">
        <f>IF('Salary Worksheet'!$B12&lt;&gt;"",'Salary Worksheet'!$B12,"")</f>
        <v/>
      </c>
      <c r="E12" s="6">
        <f>ROUND(IF(AND($C$1&gt;=1,'Salary Worksheet'!AQ7=TRUE), ('Salary Worksheet'!$I32),0),0)</f>
        <v>0</v>
      </c>
      <c r="F12" s="6">
        <f>ROUND(IF(AND($C$1&gt;=2,'Salary Worksheet'!AR7=TRUE), ('Salary Worksheet'!$U32),0),0)</f>
        <v>0</v>
      </c>
      <c r="G12" s="6">
        <f>ROUND(IF(AND($C$1&gt;=3,'Salary Worksheet'!AS7=TRUE), ('Salary Worksheet'!$I52),0),0)</f>
        <v>0</v>
      </c>
      <c r="H12" s="6">
        <f>ROUND(IF(AND($C$1&gt;=4,'Salary Worksheet'!AT7=TRUE), ('Salary Worksheet'!$U52),0),0)</f>
        <v>0</v>
      </c>
      <c r="I12" s="6">
        <f>ROUND(IF(AND($C$1&gt;=5,'Salary Worksheet'!AU7=TRUE), ('Salary Worksheet'!$I72),0),0)</f>
        <v>0</v>
      </c>
      <c r="J12" s="6">
        <f>ROUND(IF(AND($C$1&gt;=6,'Salary Worksheet'!AV7=TRUE), ('Salary Worksheet'!$U72),0),0)</f>
        <v>0</v>
      </c>
      <c r="K12" s="6"/>
      <c r="L12" s="57">
        <f t="shared" si="0"/>
        <v>0</v>
      </c>
      <c r="N12" s="47"/>
      <c r="O12" s="4"/>
      <c r="P12" s="14"/>
      <c r="R12" s="6"/>
    </row>
    <row r="13" spans="1:27">
      <c r="A13" t="str">
        <f>IF('Salary Worksheet'!$B13&lt;&gt;"",'Salary Worksheet'!$B13,"")</f>
        <v/>
      </c>
      <c r="E13" s="6">
        <f>ROUND(IF(AND($C$1&gt;=1,'Salary Worksheet'!AQ8=TRUE), ('Salary Worksheet'!$I33),0),0)</f>
        <v>0</v>
      </c>
      <c r="F13" s="6">
        <f>ROUND(IF(AND($C$1&gt;=2,'Salary Worksheet'!AR8=TRUE), ('Salary Worksheet'!$U33),0),0)</f>
        <v>0</v>
      </c>
      <c r="G13" s="6">
        <f>ROUND(IF(AND($C$1&gt;=3,'Salary Worksheet'!AS8=TRUE), ('Salary Worksheet'!$I53),0),0)</f>
        <v>0</v>
      </c>
      <c r="H13" s="6">
        <f>ROUND(IF(AND($C$1&gt;=4,'Salary Worksheet'!AT8=TRUE), ('Salary Worksheet'!$U53),0),0)</f>
        <v>0</v>
      </c>
      <c r="I13" s="6">
        <f>ROUND(IF(AND($C$1&gt;=5,'Salary Worksheet'!AU8=TRUE), ('Salary Worksheet'!$I73),0),0)</f>
        <v>0</v>
      </c>
      <c r="J13" s="6">
        <f>ROUND(IF(AND($C$1&gt;=6,'Salary Worksheet'!AV8=TRUE), ('Salary Worksheet'!$U73),0),0)</f>
        <v>0</v>
      </c>
      <c r="K13" s="6"/>
      <c r="L13" s="57">
        <f t="shared" si="0"/>
        <v>0</v>
      </c>
      <c r="N13" s="3"/>
      <c r="O13" s="4"/>
      <c r="P13" s="14"/>
      <c r="R13" s="6"/>
    </row>
    <row r="14" spans="1:27">
      <c r="A14" t="str">
        <f>IF('Salary Worksheet'!$B14&lt;&gt;"",'Salary Worksheet'!$B14,"")</f>
        <v/>
      </c>
      <c r="E14" s="6">
        <f>ROUND(IF(AND($C$1&gt;=1,'Salary Worksheet'!AQ9=TRUE), ('Salary Worksheet'!$I34),0),0)</f>
        <v>0</v>
      </c>
      <c r="F14" s="6">
        <f>ROUND(IF(AND($C$1&gt;=2,'Salary Worksheet'!AR9=TRUE), ('Salary Worksheet'!$U34),0),0)</f>
        <v>0</v>
      </c>
      <c r="G14" s="6">
        <f>ROUND(IF(AND($C$1&gt;=3,'Salary Worksheet'!AS9=TRUE), ('Salary Worksheet'!$I54),0),0)</f>
        <v>0</v>
      </c>
      <c r="H14" s="6">
        <f>ROUND(IF(AND($C$1&gt;=4,'Salary Worksheet'!AT9=TRUE), ('Salary Worksheet'!$U54),0),0)</f>
        <v>0</v>
      </c>
      <c r="I14" s="6">
        <f>ROUND(IF(AND($C$1&gt;=5,'Salary Worksheet'!AU9=TRUE), ('Salary Worksheet'!$I74),0),0)</f>
        <v>0</v>
      </c>
      <c r="J14" s="6">
        <f>ROUND(IF(AND($C$1&gt;=6,'Salary Worksheet'!AV9=TRUE), ('Salary Worksheet'!$U74),0),0)</f>
        <v>0</v>
      </c>
      <c r="K14" s="6"/>
      <c r="L14" s="57">
        <f t="shared" si="0"/>
        <v>0</v>
      </c>
      <c r="N14" s="3"/>
      <c r="O14" s="3"/>
      <c r="P14" s="14"/>
    </row>
    <row r="15" spans="1:27">
      <c r="A15" t="str">
        <f>IF('Salary Worksheet'!$B15&lt;&gt;"",'Salary Worksheet'!$B15,"")</f>
        <v/>
      </c>
      <c r="E15" s="6">
        <f>ROUND(IF(AND($C$1&gt;=1,'Salary Worksheet'!AQ10=TRUE), ('Salary Worksheet'!$I35),0),0)</f>
        <v>0</v>
      </c>
      <c r="F15" s="6">
        <f>ROUND(IF(AND($C$1&gt;=2,'Salary Worksheet'!AR10=TRUE), ('Salary Worksheet'!$U35),0),0)</f>
        <v>0</v>
      </c>
      <c r="G15" s="6">
        <f>ROUND(IF(AND($C$1&gt;=3,'Salary Worksheet'!AS10=TRUE), ('Salary Worksheet'!$I55),0),0)</f>
        <v>0</v>
      </c>
      <c r="H15" s="6">
        <f>ROUND(IF(AND($C$1&gt;=4,'Salary Worksheet'!AT10=TRUE), ('Salary Worksheet'!$U55),0),0)</f>
        <v>0</v>
      </c>
      <c r="I15" s="6">
        <f>ROUND(IF(AND($C$1&gt;=5,'Salary Worksheet'!AU10=TRUE), ('Salary Worksheet'!$I75),0),0)</f>
        <v>0</v>
      </c>
      <c r="J15" s="6">
        <f>ROUND(IF(AND($C$1&gt;=6,'Salary Worksheet'!AV10=TRUE), ('Salary Worksheet'!$U75),0),0)</f>
        <v>0</v>
      </c>
      <c r="K15" s="6"/>
      <c r="L15" s="57">
        <f t="shared" si="0"/>
        <v>0</v>
      </c>
      <c r="N15" s="3"/>
      <c r="O15" s="3"/>
      <c r="P15" s="14"/>
    </row>
    <row r="16" spans="1:27">
      <c r="A16" t="str">
        <f>IF('Salary Worksheet'!$B16&lt;&gt;"",'Salary Worksheet'!$B16,"")</f>
        <v/>
      </c>
      <c r="E16" s="6">
        <f>ROUND(IF(AND($C$1&gt;=1,'Salary Worksheet'!AQ11=TRUE), ('Salary Worksheet'!$I36),0),0)</f>
        <v>0</v>
      </c>
      <c r="F16" s="6">
        <f>ROUND(IF(AND($C$1&gt;=2,'Salary Worksheet'!AR11=TRUE), ('Salary Worksheet'!$U36),0),0)</f>
        <v>0</v>
      </c>
      <c r="G16" s="6">
        <f>ROUND(IF(AND($C$1&gt;=3,'Salary Worksheet'!AS11=TRUE), ('Salary Worksheet'!$I56),0),0)</f>
        <v>0</v>
      </c>
      <c r="H16" s="6">
        <f>ROUND(IF(AND($C$1&gt;=4,'Salary Worksheet'!AT11=TRUE), ('Salary Worksheet'!$U56),0),0)</f>
        <v>0</v>
      </c>
      <c r="I16" s="6">
        <f>ROUND(IF(AND($C$1&gt;=5,'Salary Worksheet'!AU11=TRUE), ('Salary Worksheet'!$I76),0),0)</f>
        <v>0</v>
      </c>
      <c r="J16" s="6">
        <f>ROUND(IF(AND($C$1&gt;=6,'Salary Worksheet'!AV11=TRUE), ('Salary Worksheet'!$U76),0),0)</f>
        <v>0</v>
      </c>
      <c r="K16" s="6"/>
      <c r="L16" s="57">
        <f t="shared" si="0"/>
        <v>0</v>
      </c>
      <c r="N16" s="3"/>
      <c r="O16" s="3"/>
      <c r="P16" s="14"/>
    </row>
    <row r="17" spans="1:16">
      <c r="A17" t="str">
        <f>IF('Salary Worksheet'!$B17&lt;&gt;"",'Salary Worksheet'!$B17,"")</f>
        <v/>
      </c>
      <c r="E17" s="6">
        <f>ROUND(IF(AND($C$1&gt;=1,'Salary Worksheet'!AQ12=TRUE), ('Salary Worksheet'!$I37),0),0)</f>
        <v>0</v>
      </c>
      <c r="F17" s="6">
        <f>ROUND(IF(AND($C$1&gt;=2,'Salary Worksheet'!AR12=TRUE), ('Salary Worksheet'!$U37),0),0)</f>
        <v>0</v>
      </c>
      <c r="G17" s="6">
        <f>ROUND(IF(AND($C$1&gt;=3,'Salary Worksheet'!AS12=TRUE), ('Salary Worksheet'!$I57),0),0)</f>
        <v>0</v>
      </c>
      <c r="H17" s="6">
        <f>ROUND(IF(AND($C$1&gt;=4,'Salary Worksheet'!AT12=TRUE), ('Salary Worksheet'!$U57),0),0)</f>
        <v>0</v>
      </c>
      <c r="I17" s="6">
        <f>ROUND(IF(AND($C$1&gt;=5,'Salary Worksheet'!AU12=TRUE), ('Salary Worksheet'!$I77),0),0)</f>
        <v>0</v>
      </c>
      <c r="J17" s="6">
        <f>ROUND(IF(AND($C$1&gt;=6,'Salary Worksheet'!AV12=TRUE), ('Salary Worksheet'!$U77),0),0)</f>
        <v>0</v>
      </c>
      <c r="K17" s="6"/>
      <c r="L17" s="57">
        <f t="shared" si="0"/>
        <v>0</v>
      </c>
      <c r="N17" s="3"/>
      <c r="O17" s="3"/>
      <c r="P17" s="14"/>
    </row>
    <row r="18" spans="1:16">
      <c r="A18" t="str">
        <f>IF('Salary Worksheet'!$B18&lt;&gt;"",'Salary Worksheet'!$B18,"")</f>
        <v/>
      </c>
      <c r="E18" s="6">
        <f>ROUND(IF(AND($C$1&gt;=1,'Salary Worksheet'!AQ13=TRUE), ('Salary Worksheet'!$I38),0),0)</f>
        <v>0</v>
      </c>
      <c r="F18" s="6">
        <f>ROUND(IF(AND($C$1&gt;=2,'Salary Worksheet'!AR13=TRUE), ('Salary Worksheet'!$U38),0),0)</f>
        <v>0</v>
      </c>
      <c r="G18" s="6">
        <f>ROUND(IF(AND($C$1&gt;=3,'Salary Worksheet'!AS13=TRUE), ('Salary Worksheet'!$I58),0),0)</f>
        <v>0</v>
      </c>
      <c r="H18" s="6">
        <f>ROUND(IF(AND($C$1&gt;=4,'Salary Worksheet'!AT13=TRUE), ('Salary Worksheet'!$U58),0),0)</f>
        <v>0</v>
      </c>
      <c r="I18" s="6">
        <f>ROUND(IF(AND($C$1&gt;=5,'Salary Worksheet'!AU13=TRUE), ('Salary Worksheet'!$I78),0),0)</f>
        <v>0</v>
      </c>
      <c r="J18" s="6">
        <f>ROUND(IF(AND($C$1&gt;=6,'Salary Worksheet'!AV13=TRUE), ('Salary Worksheet'!$U78),0),0)</f>
        <v>0</v>
      </c>
      <c r="K18" s="6"/>
      <c r="L18" s="57">
        <f t="shared" si="0"/>
        <v>0</v>
      </c>
      <c r="N18" s="3"/>
      <c r="O18" s="3"/>
      <c r="P18" s="14"/>
    </row>
    <row r="19" spans="1:16">
      <c r="A19" t="str">
        <f>IF('Salary Worksheet'!$B19&lt;&gt;"",'Salary Worksheet'!$B19,"")</f>
        <v/>
      </c>
      <c r="E19" s="6">
        <f>ROUND(IF(AND($C$1&gt;=1,'Salary Worksheet'!AQ14=TRUE), ('Salary Worksheet'!$I39),0),0)</f>
        <v>0</v>
      </c>
      <c r="F19" s="6">
        <f>ROUND(IF(AND($C$1&gt;=2,'Salary Worksheet'!AR14=TRUE), ('Salary Worksheet'!$U39),0),0)</f>
        <v>0</v>
      </c>
      <c r="G19" s="6">
        <f>ROUND(IF(AND($C$1&gt;=3,'Salary Worksheet'!AS14=TRUE), ('Salary Worksheet'!$I59),0),0)</f>
        <v>0</v>
      </c>
      <c r="H19" s="6">
        <f>ROUND(IF(AND($C$1&gt;=4,'Salary Worksheet'!AT14=TRUE), ('Salary Worksheet'!$U59),0),0)</f>
        <v>0</v>
      </c>
      <c r="I19" s="6">
        <f>ROUND(IF(AND($C$1&gt;=5,'Salary Worksheet'!AU14=TRUE), ('Salary Worksheet'!$I79),0),0)</f>
        <v>0</v>
      </c>
      <c r="J19" s="6">
        <f>ROUND(IF(AND($C$1&gt;=6,'Salary Worksheet'!AV14=TRUE), ('Salary Worksheet'!$U79),0),0)</f>
        <v>0</v>
      </c>
      <c r="K19" s="6"/>
      <c r="L19" s="57">
        <f t="shared" si="0"/>
        <v>0</v>
      </c>
      <c r="N19" s="3"/>
      <c r="O19" s="3"/>
      <c r="P19" s="14"/>
    </row>
    <row r="20" spans="1:16">
      <c r="A20" t="str">
        <f>IF('Salary Worksheet'!$B20&lt;&gt;"",'Salary Worksheet'!$B20,"")</f>
        <v/>
      </c>
      <c r="E20" s="6">
        <f>ROUND(IF(AND($C$1&gt;=1,'Salary Worksheet'!AQ15=TRUE), ('Salary Worksheet'!$I40),0),0)</f>
        <v>0</v>
      </c>
      <c r="F20" s="6">
        <f>ROUND(IF(AND($C$1&gt;=2,'Salary Worksheet'!AR15=TRUE), ('Salary Worksheet'!$U40),0),0)</f>
        <v>0</v>
      </c>
      <c r="G20" s="6">
        <f>ROUND(IF(AND($C$1&gt;=3,'Salary Worksheet'!AS15=TRUE), ('Salary Worksheet'!$I60),0),0)</f>
        <v>0</v>
      </c>
      <c r="H20" s="6">
        <f>ROUND(IF(AND($C$1&gt;=4,'Salary Worksheet'!AT15=TRUE), ('Salary Worksheet'!$U60),0),0)</f>
        <v>0</v>
      </c>
      <c r="I20" s="6">
        <f>ROUND(IF(AND($C$1&gt;=5,'Salary Worksheet'!AU15=TRUE), ('Salary Worksheet'!$I80),0),0)</f>
        <v>0</v>
      </c>
      <c r="J20" s="6">
        <f>ROUND(IF(AND($C$1&gt;=6,'Salary Worksheet'!AV15=TRUE), ('Salary Worksheet'!$U80),0),0)</f>
        <v>0</v>
      </c>
      <c r="K20" s="6"/>
      <c r="L20" s="57">
        <f t="shared" si="0"/>
        <v>0</v>
      </c>
      <c r="N20" s="3"/>
      <c r="O20" s="3"/>
      <c r="P20" s="14"/>
    </row>
    <row r="21" spans="1:16">
      <c r="A21" t="str">
        <f>IF('Salary Worksheet'!$B21&lt;&gt;"",'Salary Worksheet'!$B21,"")</f>
        <v/>
      </c>
      <c r="E21" s="6">
        <f>ROUND(IF(AND($C$1&gt;=1,'Salary Worksheet'!AQ16=TRUE), ('Salary Worksheet'!$I41),0),0)</f>
        <v>0</v>
      </c>
      <c r="F21" s="6">
        <f>ROUND(IF(AND($C$1&gt;=2,'Salary Worksheet'!AR16=TRUE), ('Salary Worksheet'!$U41),0),0)</f>
        <v>0</v>
      </c>
      <c r="G21" s="6">
        <f>ROUND(IF(AND($C$1&gt;=3,'Salary Worksheet'!AS16=TRUE), ('Salary Worksheet'!$I61),0),0)</f>
        <v>0</v>
      </c>
      <c r="H21" s="6">
        <f>ROUND(IF(AND($C$1&gt;=4,'Salary Worksheet'!AT16=TRUE), ('Salary Worksheet'!$U61),0),0)</f>
        <v>0</v>
      </c>
      <c r="I21" s="6">
        <f>ROUND(IF(AND($C$1&gt;=5,'Salary Worksheet'!AU16=TRUE), ('Salary Worksheet'!$I81),0),0)</f>
        <v>0</v>
      </c>
      <c r="J21" s="6">
        <f>ROUND(IF(AND($C$1&gt;=6,'Salary Worksheet'!AV16=TRUE), ('Salary Worksheet'!$U81),0),0)</f>
        <v>0</v>
      </c>
      <c r="K21" s="6"/>
      <c r="L21" s="57">
        <f>SUM(E21:J21,0)</f>
        <v>0</v>
      </c>
      <c r="N21" s="3"/>
      <c r="O21" s="3"/>
      <c r="P21" s="3"/>
    </row>
    <row r="22" spans="1:16">
      <c r="A22" s="3" t="s">
        <v>210</v>
      </c>
      <c r="E22" s="4">
        <f>SUM(E6:E21,0)</f>
        <v>0</v>
      </c>
      <c r="F22" s="4">
        <f t="shared" ref="F22:J22" si="1">SUM(F6:F21,0)</f>
        <v>0</v>
      </c>
      <c r="G22" s="4">
        <f t="shared" si="1"/>
        <v>0</v>
      </c>
      <c r="H22" s="4">
        <f t="shared" si="1"/>
        <v>0</v>
      </c>
      <c r="I22" s="4">
        <f t="shared" si="1"/>
        <v>0</v>
      </c>
      <c r="J22" s="4">
        <f t="shared" si="1"/>
        <v>0</v>
      </c>
      <c r="K22" s="4"/>
      <c r="L22" s="57">
        <f>SUM(E22:J22,0)</f>
        <v>0</v>
      </c>
      <c r="N22" s="3"/>
      <c r="O22" s="3"/>
      <c r="P22" s="3"/>
    </row>
    <row r="23" spans="1:16">
      <c r="E23" s="6"/>
      <c r="F23" s="6"/>
      <c r="G23" s="6"/>
      <c r="H23" s="6"/>
      <c r="I23" s="6"/>
      <c r="J23" s="6"/>
      <c r="K23" s="6"/>
      <c r="N23" s="3"/>
      <c r="O23" s="3"/>
      <c r="P23" s="3"/>
    </row>
    <row r="24" spans="1:16">
      <c r="A24" s="1" t="s">
        <v>0</v>
      </c>
      <c r="B24" s="1"/>
      <c r="C24" s="1"/>
      <c r="D24" s="1"/>
      <c r="E24" s="6">
        <f>ROUND(IF(C1&gt;=1, SUM('Salary Worksheet'!J26:J41),0)+'Course Buyout'!C93,0)</f>
        <v>0</v>
      </c>
      <c r="F24" s="6">
        <f>ROUND(IF(C1&gt;=2, SUM('Salary Worksheet'!V26:V41,0),0)+'Course Buyout'!D93,0)</f>
        <v>0</v>
      </c>
      <c r="G24" s="6">
        <f>ROUND(IF(C1&gt;=3, SUM('Salary Worksheet'!J46:J61,0),0)+'Course Buyout'!E93,0)</f>
        <v>0</v>
      </c>
      <c r="H24" s="6">
        <f>ROUND(IF(C1&gt;=4, SUM('Salary Worksheet'!V46:V61,0),0)+'Course Buyout'!F93,0)</f>
        <v>0</v>
      </c>
      <c r="I24" s="6">
        <f>ROUND(IF(C1&gt;=5, SUM('Salary Worksheet'!J66:J81,0),0)+'Course Buyout'!G93,0)</f>
        <v>0</v>
      </c>
      <c r="J24" s="6">
        <f>ROUND(IF(C1&gt;=6, SUM('Salary Worksheet'!V66:V81,0),0)+'Course Buyout'!H93,0)</f>
        <v>0</v>
      </c>
      <c r="K24" s="6"/>
      <c r="L24" s="57">
        <f>SUM(E24:J24,0)</f>
        <v>0</v>
      </c>
      <c r="N24" s="3"/>
      <c r="O24" s="3"/>
      <c r="P24" s="3"/>
    </row>
    <row r="25" spans="1:16" s="3" customFormat="1">
      <c r="A25" s="280" t="s">
        <v>25</v>
      </c>
      <c r="B25" s="280"/>
      <c r="C25" s="280"/>
      <c r="D25" s="280"/>
      <c r="E25" s="281">
        <f t="shared" ref="E25:J25" si="2">SUM(E22:E24,0)</f>
        <v>0</v>
      </c>
      <c r="F25" s="281">
        <f t="shared" si="2"/>
        <v>0</v>
      </c>
      <c r="G25" s="281">
        <f t="shared" si="2"/>
        <v>0</v>
      </c>
      <c r="H25" s="281">
        <f t="shared" si="2"/>
        <v>0</v>
      </c>
      <c r="I25" s="281">
        <f t="shared" si="2"/>
        <v>0</v>
      </c>
      <c r="J25" s="281">
        <f t="shared" si="2"/>
        <v>0</v>
      </c>
      <c r="K25" s="281"/>
      <c r="L25" s="283">
        <f>SUM(E25:J25,0)</f>
        <v>0</v>
      </c>
    </row>
    <row r="26" spans="1:16">
      <c r="A26" s="3"/>
      <c r="B26" s="3"/>
      <c r="C26" s="3"/>
      <c r="D26" s="3"/>
      <c r="E26" s="4"/>
      <c r="F26" s="4"/>
      <c r="G26" s="4"/>
      <c r="H26" s="4"/>
      <c r="I26" s="4"/>
      <c r="J26" s="4"/>
      <c r="K26" s="4"/>
      <c r="N26" s="3"/>
      <c r="O26" s="3"/>
      <c r="P26" s="3"/>
    </row>
    <row r="27" spans="1:16">
      <c r="A27" s="1" t="s">
        <v>1</v>
      </c>
      <c r="B27" s="1"/>
      <c r="C27" s="1"/>
      <c r="D27" s="1"/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6"/>
      <c r="L27" s="57">
        <f>SUM(E27:J27,0)</f>
        <v>0</v>
      </c>
    </row>
    <row r="28" spans="1:16">
      <c r="E28" s="6"/>
      <c r="F28" s="6"/>
      <c r="G28" s="6"/>
      <c r="H28" s="6"/>
      <c r="I28" s="6"/>
      <c r="J28" s="6"/>
      <c r="K28" s="6"/>
    </row>
    <row r="29" spans="1:16">
      <c r="A29" s="1" t="s">
        <v>2</v>
      </c>
      <c r="B29" s="1"/>
      <c r="C29" s="1"/>
      <c r="D29" s="1"/>
      <c r="E29" s="6"/>
      <c r="F29" s="6"/>
      <c r="G29" s="6"/>
      <c r="H29" s="6"/>
      <c r="I29" s="6"/>
      <c r="J29" s="6"/>
      <c r="K29" s="6"/>
      <c r="N29" s="2"/>
      <c r="O29" s="2"/>
    </row>
    <row r="30" spans="1:16">
      <c r="A30" t="s">
        <v>6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6"/>
      <c r="L30" s="57">
        <f>SUM(E30:J30,0)</f>
        <v>0</v>
      </c>
    </row>
    <row r="31" spans="1:16">
      <c r="A31" t="s">
        <v>7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6"/>
      <c r="L31" s="57">
        <f>SUM(E31:J31,0)</f>
        <v>0</v>
      </c>
      <c r="N31" s="18"/>
    </row>
    <row r="32" spans="1:16" s="3" customFormat="1">
      <c r="A32" s="280" t="s">
        <v>211</v>
      </c>
      <c r="B32" s="280"/>
      <c r="C32" s="280"/>
      <c r="D32" s="280"/>
      <c r="E32" s="282">
        <f t="shared" ref="E32:J32" si="3">SUM(E30:E31)</f>
        <v>0</v>
      </c>
      <c r="F32" s="282">
        <f t="shared" si="3"/>
        <v>0</v>
      </c>
      <c r="G32" s="282">
        <f t="shared" si="3"/>
        <v>0</v>
      </c>
      <c r="H32" s="282">
        <f t="shared" si="3"/>
        <v>0</v>
      </c>
      <c r="I32" s="282">
        <f t="shared" si="3"/>
        <v>0</v>
      </c>
      <c r="J32" s="282">
        <f t="shared" si="3"/>
        <v>0</v>
      </c>
      <c r="K32" s="281"/>
      <c r="L32" s="283">
        <f>SUM(E32:J32,0)</f>
        <v>0</v>
      </c>
      <c r="N32" s="284"/>
    </row>
    <row r="33" spans="1:15">
      <c r="E33" s="6"/>
      <c r="F33" s="6"/>
      <c r="G33" s="6"/>
      <c r="H33" s="6"/>
      <c r="I33" s="6"/>
      <c r="J33" s="6"/>
      <c r="K33" s="6"/>
      <c r="N33" s="2"/>
      <c r="O33" s="17"/>
    </row>
    <row r="34" spans="1:15">
      <c r="A34" s="1" t="s">
        <v>8</v>
      </c>
      <c r="B34" s="1"/>
      <c r="C34" s="1"/>
      <c r="D34" s="1"/>
      <c r="K34" s="6"/>
    </row>
    <row r="35" spans="1:15">
      <c r="A35" s="3" t="s">
        <v>171</v>
      </c>
      <c r="B35" s="278"/>
      <c r="C35" s="277"/>
      <c r="D35" s="277"/>
      <c r="E35" s="279">
        <v>0</v>
      </c>
      <c r="F35" s="279">
        <v>0</v>
      </c>
      <c r="G35" s="279">
        <v>0</v>
      </c>
      <c r="H35" s="279">
        <v>0</v>
      </c>
      <c r="I35" s="279">
        <v>0</v>
      </c>
      <c r="J35" s="279">
        <v>0</v>
      </c>
      <c r="K35" s="4"/>
      <c r="L35" s="276">
        <f>SUM(E35:J35,0)</f>
        <v>0</v>
      </c>
    </row>
    <row r="36" spans="1:15">
      <c r="A36" t="s">
        <v>172</v>
      </c>
      <c r="B36" s="1"/>
      <c r="C36" s="1"/>
      <c r="D36" s="1"/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6"/>
      <c r="L36" s="57">
        <f t="shared" ref="L36:L39" si="4">SUM(E36:J36,0)</f>
        <v>0</v>
      </c>
    </row>
    <row r="37" spans="1:15">
      <c r="A37" t="s">
        <v>173</v>
      </c>
      <c r="B37" s="1"/>
      <c r="C37" s="1"/>
      <c r="D37" s="1"/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6"/>
      <c r="L37" s="57">
        <f t="shared" si="4"/>
        <v>0</v>
      </c>
    </row>
    <row r="38" spans="1:15">
      <c r="A38" t="s">
        <v>174</v>
      </c>
      <c r="B38" s="1"/>
      <c r="C38" s="1"/>
      <c r="D38" s="1"/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6"/>
      <c r="L38" s="57">
        <f t="shared" si="4"/>
        <v>0</v>
      </c>
    </row>
    <row r="39" spans="1:15">
      <c r="A39" t="s">
        <v>175</v>
      </c>
      <c r="B39" s="1"/>
      <c r="C39" s="1"/>
      <c r="D39" s="1"/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6"/>
      <c r="L39" s="57">
        <f t="shared" si="4"/>
        <v>0</v>
      </c>
    </row>
    <row r="40" spans="1:15" s="3" customFormat="1">
      <c r="A40" s="280" t="s">
        <v>176</v>
      </c>
      <c r="B40" s="285"/>
      <c r="C40" s="285"/>
      <c r="D40" s="285"/>
      <c r="E40" s="281">
        <f>SUM(E36:E39)</f>
        <v>0</v>
      </c>
      <c r="F40" s="281">
        <f t="shared" ref="F40:J40" si="5">SUM(F36:F39)</f>
        <v>0</v>
      </c>
      <c r="G40" s="281">
        <f t="shared" si="5"/>
        <v>0</v>
      </c>
      <c r="H40" s="281">
        <f t="shared" si="5"/>
        <v>0</v>
      </c>
      <c r="I40" s="281">
        <f t="shared" si="5"/>
        <v>0</v>
      </c>
      <c r="J40" s="281">
        <f t="shared" si="5"/>
        <v>0</v>
      </c>
      <c r="K40" s="281"/>
      <c r="L40" s="283">
        <f>SUM(E40:J40,0)</f>
        <v>0</v>
      </c>
    </row>
    <row r="41" spans="1:15">
      <c r="E41" s="6"/>
      <c r="F41" s="6"/>
      <c r="G41" s="6"/>
      <c r="H41" s="6"/>
      <c r="I41" s="6"/>
      <c r="J41" s="6"/>
      <c r="K41" s="6"/>
    </row>
    <row r="42" spans="1:15">
      <c r="A42" s="1" t="s">
        <v>9</v>
      </c>
      <c r="B42" s="1"/>
      <c r="C42" s="1"/>
      <c r="D42" s="1"/>
      <c r="E42" s="6"/>
      <c r="F42" s="6"/>
      <c r="G42" s="6"/>
      <c r="H42" s="6"/>
      <c r="I42" s="6"/>
      <c r="J42" s="6"/>
      <c r="K42" s="6"/>
    </row>
    <row r="43" spans="1:15">
      <c r="A43" t="s">
        <v>10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6"/>
      <c r="L43" s="57">
        <f t="shared" ref="L43:L50" si="6">SUM(E43:J43,0)</f>
        <v>0</v>
      </c>
    </row>
    <row r="44" spans="1:15">
      <c r="A44" t="s">
        <v>11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6"/>
      <c r="L44" s="57">
        <f t="shared" si="6"/>
        <v>0</v>
      </c>
    </row>
    <row r="45" spans="1:15">
      <c r="A45" t="s">
        <v>12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6"/>
      <c r="L45" s="57">
        <f t="shared" si="6"/>
        <v>0</v>
      </c>
    </row>
    <row r="46" spans="1:15">
      <c r="A46" t="s">
        <v>13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6"/>
      <c r="L46" s="57">
        <f t="shared" si="6"/>
        <v>0</v>
      </c>
    </row>
    <row r="47" spans="1:15">
      <c r="A47" t="s">
        <v>14</v>
      </c>
      <c r="E47" s="6">
        <f>ROUND(Subcontract!E5,0)</f>
        <v>0</v>
      </c>
      <c r="F47" s="6">
        <f>ROUND(Subcontract!F5,0)</f>
        <v>0</v>
      </c>
      <c r="G47" s="6">
        <f>ROUND(Subcontract!G5,0)</f>
        <v>0</v>
      </c>
      <c r="H47" s="6">
        <f>ROUND(Subcontract!H5,0)</f>
        <v>0</v>
      </c>
      <c r="I47" s="6">
        <f>ROUND(Subcontract!I5,0)</f>
        <v>0</v>
      </c>
      <c r="J47" s="6">
        <f>ROUND(Subcontract!J5,0)</f>
        <v>0</v>
      </c>
      <c r="K47" s="6"/>
      <c r="L47" s="57">
        <f t="shared" si="6"/>
        <v>0</v>
      </c>
    </row>
    <row r="48" spans="1:15">
      <c r="A48" t="s">
        <v>15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6"/>
      <c r="L48" s="57">
        <f t="shared" si="6"/>
        <v>0</v>
      </c>
    </row>
    <row r="49" spans="1:12">
      <c r="A49" s="68" t="s">
        <v>137</v>
      </c>
      <c r="B49" s="68"/>
      <c r="C49" s="68"/>
      <c r="D49" s="68"/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166"/>
      <c r="L49" s="167">
        <f t="shared" si="6"/>
        <v>0</v>
      </c>
    </row>
    <row r="50" spans="1:12">
      <c r="A50" s="68" t="s">
        <v>138</v>
      </c>
      <c r="B50" s="68"/>
      <c r="C50" s="68"/>
      <c r="D50" s="68"/>
      <c r="E50" s="166">
        <f>ROUND(Tuition!$I7,0)</f>
        <v>0</v>
      </c>
      <c r="F50" s="166">
        <f>ROUND(Tuition!$I14,0)</f>
        <v>0</v>
      </c>
      <c r="G50" s="166">
        <f>ROUND(Tuition!$I21,0)</f>
        <v>0</v>
      </c>
      <c r="H50" s="166">
        <f>ROUND(Tuition!$I28,0)</f>
        <v>0</v>
      </c>
      <c r="I50" s="166">
        <f>ROUND(Tuition!$I35,0)</f>
        <v>0</v>
      </c>
      <c r="J50" s="166">
        <f>ROUND(Tuition!$I42,0)</f>
        <v>0</v>
      </c>
      <c r="K50" s="166"/>
      <c r="L50" s="167">
        <f t="shared" si="6"/>
        <v>0</v>
      </c>
    </row>
    <row r="51" spans="1:12" s="3" customFormat="1">
      <c r="A51" s="280" t="s">
        <v>212</v>
      </c>
      <c r="B51" s="280"/>
      <c r="C51" s="280"/>
      <c r="D51" s="280"/>
      <c r="E51" s="281">
        <f t="shared" ref="E51:J51" si="7">SUM(E43:E50)</f>
        <v>0</v>
      </c>
      <c r="F51" s="281">
        <f t="shared" si="7"/>
        <v>0</v>
      </c>
      <c r="G51" s="281">
        <f t="shared" si="7"/>
        <v>0</v>
      </c>
      <c r="H51" s="281">
        <f t="shared" si="7"/>
        <v>0</v>
      </c>
      <c r="I51" s="281">
        <f t="shared" si="7"/>
        <v>0</v>
      </c>
      <c r="J51" s="281">
        <f t="shared" si="7"/>
        <v>0</v>
      </c>
      <c r="K51" s="281"/>
      <c r="L51" s="283">
        <f>SUM(E51:J51,0)</f>
        <v>0</v>
      </c>
    </row>
    <row r="52" spans="1:12">
      <c r="E52" s="6"/>
      <c r="F52" s="6"/>
      <c r="G52" s="6"/>
      <c r="H52" s="6"/>
      <c r="I52" s="6"/>
      <c r="J52" s="6"/>
      <c r="K52" s="6"/>
    </row>
    <row r="53" spans="1:12">
      <c r="A53" s="1" t="s">
        <v>16</v>
      </c>
      <c r="B53" s="1"/>
      <c r="C53" s="1"/>
      <c r="D53" s="1"/>
      <c r="E53" s="6">
        <f>SUM(E25,E27,E32,E40,E51)</f>
        <v>0</v>
      </c>
      <c r="F53" s="6">
        <f>SUM(F22,F25,F27,F32,F40,F51)</f>
        <v>0</v>
      </c>
      <c r="G53" s="6">
        <f>SUM(G22,G25,G27,G32,G40,G51)</f>
        <v>0</v>
      </c>
      <c r="H53" s="6">
        <f>SUM(H22,H25,H27,H32,H40,H51)</f>
        <v>0</v>
      </c>
      <c r="I53" s="6">
        <f>SUM(I22,I25,I27,I32,I40,I51)</f>
        <v>0</v>
      </c>
      <c r="J53" s="6">
        <f>SUM(J22,J25,J27,J32,J40,J51)</f>
        <v>0</v>
      </c>
      <c r="K53" s="6"/>
      <c r="L53" s="57">
        <f>SUM(E53:J53,0)</f>
        <v>0</v>
      </c>
    </row>
    <row r="54" spans="1:12">
      <c r="A54" s="1"/>
      <c r="B54" s="1"/>
      <c r="C54" s="1"/>
      <c r="D54" s="1"/>
      <c r="E54" s="6"/>
      <c r="F54" s="6"/>
      <c r="G54" s="6"/>
      <c r="H54" s="6"/>
      <c r="I54" s="6"/>
      <c r="J54" s="6"/>
      <c r="K54" s="6"/>
    </row>
    <row r="55" spans="1:12">
      <c r="A55" t="s">
        <v>24</v>
      </c>
      <c r="E55" s="6">
        <f>E$53-(E$40+E$27+E$47+E$49+E$50)+Subcontract!E$7</f>
        <v>0</v>
      </c>
      <c r="F55" s="6">
        <f>F$53-(F$40+F$27+F$47+F$49+F$50)+Subcontract!F$7</f>
        <v>0</v>
      </c>
      <c r="G55" s="6">
        <f>G$53-(G$40+G$27+G$47+G$49+G$50)+Subcontract!G$7</f>
        <v>0</v>
      </c>
      <c r="H55" s="6">
        <f>H$53-(H$40+H$27+H$47+H$49+H$50)+Subcontract!H$7</f>
        <v>0</v>
      </c>
      <c r="I55" s="6">
        <f>I$53-(I$40+I$27+I$47+I$49+I$50)+Subcontract!I$7</f>
        <v>0</v>
      </c>
      <c r="J55" s="6">
        <f>J$53-(J$40+J$27+J$47+J$49+J$50)+Subcontract!J$7</f>
        <v>0</v>
      </c>
      <c r="K55" s="6"/>
      <c r="L55" s="57">
        <f>SUM(E55:J55,0)</f>
        <v>0</v>
      </c>
    </row>
    <row r="56" spans="1:12">
      <c r="E56" s="6"/>
      <c r="F56" s="6"/>
      <c r="G56" s="6"/>
      <c r="H56" s="6"/>
      <c r="I56" s="6"/>
      <c r="J56" s="6"/>
      <c r="K56" s="6"/>
    </row>
    <row r="57" spans="1:12">
      <c r="A57" s="1" t="s">
        <v>71</v>
      </c>
      <c r="B57" s="1"/>
      <c r="C57" s="1"/>
      <c r="D57" s="1"/>
      <c r="E57" s="6">
        <f t="shared" ref="E57:J57" si="8">ROUND(E55*$C2,0)</f>
        <v>0</v>
      </c>
      <c r="F57" s="6">
        <f t="shared" si="8"/>
        <v>0</v>
      </c>
      <c r="G57" s="6">
        <f t="shared" si="8"/>
        <v>0</v>
      </c>
      <c r="H57" s="6">
        <f t="shared" si="8"/>
        <v>0</v>
      </c>
      <c r="I57" s="6">
        <f t="shared" si="8"/>
        <v>0</v>
      </c>
      <c r="J57" s="6">
        <f t="shared" si="8"/>
        <v>0</v>
      </c>
      <c r="K57" s="6"/>
      <c r="L57" s="57">
        <f>SUM(E57:J57,0)</f>
        <v>0</v>
      </c>
    </row>
    <row r="58" spans="1:12">
      <c r="E58" s="6"/>
      <c r="F58" s="6"/>
      <c r="G58" s="6"/>
      <c r="H58" s="6"/>
      <c r="I58" s="6"/>
      <c r="J58" s="6"/>
      <c r="K58" s="6"/>
    </row>
    <row r="59" spans="1:12">
      <c r="A59" s="1" t="s">
        <v>17</v>
      </c>
      <c r="B59" s="1"/>
      <c r="C59" s="1"/>
      <c r="D59" s="1"/>
      <c r="E59" s="6">
        <f>SUM(E53,E57)</f>
        <v>0</v>
      </c>
      <c r="F59" s="6">
        <f t="shared" ref="F59:J59" si="9">SUM(F53,F57)</f>
        <v>0</v>
      </c>
      <c r="G59" s="6">
        <f t="shared" si="9"/>
        <v>0</v>
      </c>
      <c r="H59" s="6">
        <f t="shared" si="9"/>
        <v>0</v>
      </c>
      <c r="I59" s="6">
        <f t="shared" si="9"/>
        <v>0</v>
      </c>
      <c r="J59" s="6">
        <f t="shared" si="9"/>
        <v>0</v>
      </c>
      <c r="K59" s="6"/>
      <c r="L59" s="57">
        <f>SUM(E59:J59,0)</f>
        <v>0</v>
      </c>
    </row>
    <row r="60" spans="1:12">
      <c r="E60" s="6"/>
      <c r="F60" s="6"/>
      <c r="G60" s="6"/>
      <c r="H60" s="6"/>
      <c r="I60" s="6"/>
      <c r="J60" s="6"/>
      <c r="K60" s="6"/>
    </row>
    <row r="61" spans="1:12">
      <c r="A61" s="1" t="s">
        <v>18</v>
      </c>
      <c r="B61" s="1"/>
      <c r="C61" s="1"/>
      <c r="D61" s="1"/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6"/>
      <c r="L61" s="57">
        <f>SUM(E61:J61,0)</f>
        <v>0</v>
      </c>
    </row>
    <row r="62" spans="1:12">
      <c r="E62" s="6"/>
      <c r="F62" s="6"/>
      <c r="G62" s="6"/>
      <c r="H62" s="6"/>
      <c r="I62" s="6"/>
      <c r="J62" s="6"/>
      <c r="K62" s="6"/>
    </row>
    <row r="63" spans="1:12">
      <c r="A63" s="1" t="s">
        <v>19</v>
      </c>
      <c r="B63" s="1"/>
      <c r="C63" s="1"/>
      <c r="D63" s="1"/>
      <c r="E63" s="6">
        <f>E59+E61</f>
        <v>0</v>
      </c>
      <c r="F63" s="6">
        <f t="shared" ref="F63:J63" si="10">F59+F61</f>
        <v>0</v>
      </c>
      <c r="G63" s="6">
        <f t="shared" si="10"/>
        <v>0</v>
      </c>
      <c r="H63" s="6">
        <f t="shared" si="10"/>
        <v>0</v>
      </c>
      <c r="I63" s="6">
        <f t="shared" si="10"/>
        <v>0</v>
      </c>
      <c r="J63" s="6">
        <f t="shared" si="10"/>
        <v>0</v>
      </c>
      <c r="K63" s="6"/>
      <c r="L63" s="57">
        <f>SUM(E63:J63,0)</f>
        <v>0</v>
      </c>
    </row>
    <row r="64" spans="1:12">
      <c r="E64" s="6"/>
      <c r="F64" s="6"/>
      <c r="G64" s="6"/>
      <c r="H64" s="6"/>
      <c r="I64" s="6"/>
      <c r="J64" s="6"/>
      <c r="K64" s="6"/>
    </row>
    <row r="65" spans="1:12">
      <c r="A65" s="1" t="s">
        <v>20</v>
      </c>
      <c r="B65" s="1"/>
      <c r="C65" s="1"/>
      <c r="D65" s="1"/>
      <c r="E65" s="6">
        <f>'Cost Share'!E47</f>
        <v>0</v>
      </c>
      <c r="F65" s="6">
        <f>'Cost Share'!F47</f>
        <v>0</v>
      </c>
      <c r="G65" s="6">
        <f>'Cost Share'!G47</f>
        <v>0</v>
      </c>
      <c r="H65" s="6">
        <f>'Cost Share'!H47</f>
        <v>0</v>
      </c>
      <c r="I65" s="6">
        <f>'Cost Share'!I47</f>
        <v>0</v>
      </c>
      <c r="J65" s="6">
        <f>'Cost Share'!J47</f>
        <v>0</v>
      </c>
      <c r="K65" s="6"/>
      <c r="L65" s="57">
        <f>SUM(E65:J65,0)</f>
        <v>0</v>
      </c>
    </row>
    <row r="66" spans="1:12">
      <c r="E66" s="5"/>
      <c r="F66" s="5"/>
      <c r="G66" s="5"/>
      <c r="H66" s="5"/>
      <c r="I66" s="5"/>
      <c r="J66" s="5"/>
      <c r="K66" s="5"/>
    </row>
    <row r="67" spans="1:12">
      <c r="E67" s="5"/>
      <c r="F67" s="5"/>
      <c r="G67" s="5"/>
      <c r="H67" s="5"/>
      <c r="I67" s="5"/>
      <c r="J67" s="5"/>
      <c r="K67" s="5"/>
    </row>
    <row r="68" spans="1:12">
      <c r="E68" s="5"/>
      <c r="F68" s="5"/>
      <c r="G68" s="5"/>
      <c r="H68" s="5"/>
      <c r="I68" s="5"/>
      <c r="J68" s="5"/>
      <c r="K68" s="5"/>
    </row>
    <row r="69" spans="1:12">
      <c r="E69" s="5"/>
      <c r="F69" s="5"/>
      <c r="G69" s="5"/>
      <c r="H69" s="5"/>
      <c r="I69" s="5"/>
      <c r="J69" s="5"/>
      <c r="K69" s="5"/>
    </row>
    <row r="70" spans="1:12">
      <c r="E70" s="5"/>
      <c r="F70" s="5"/>
      <c r="G70" s="5"/>
      <c r="H70" s="5"/>
      <c r="I70" s="5"/>
      <c r="J70" s="5"/>
      <c r="K70" s="5"/>
    </row>
    <row r="71" spans="1:12">
      <c r="E71" s="5"/>
      <c r="F71" s="5"/>
      <c r="G71" s="5"/>
      <c r="H71" s="5"/>
      <c r="I71" s="5"/>
      <c r="J71" s="5"/>
      <c r="K71" s="5"/>
    </row>
    <row r="72" spans="1:12">
      <c r="E72" s="5"/>
      <c r="F72" s="5"/>
      <c r="G72" s="5"/>
      <c r="H72" s="5"/>
      <c r="I72" s="5"/>
      <c r="J72" s="5"/>
      <c r="K72" s="5"/>
    </row>
    <row r="73" spans="1:12">
      <c r="E73" s="5"/>
      <c r="F73" s="5"/>
      <c r="G73" s="5"/>
      <c r="H73" s="5"/>
      <c r="I73" s="5"/>
      <c r="J73" s="5"/>
      <c r="K73" s="5"/>
    </row>
    <row r="74" spans="1:12">
      <c r="E74" s="5"/>
      <c r="F74" s="5"/>
      <c r="G74" s="5"/>
      <c r="H74" s="5"/>
      <c r="I74" s="5"/>
      <c r="J74" s="5"/>
      <c r="K74" s="5"/>
    </row>
    <row r="75" spans="1:12">
      <c r="E75" s="5"/>
      <c r="F75" s="5"/>
      <c r="G75" s="5"/>
      <c r="H75" s="5"/>
      <c r="I75" s="5"/>
      <c r="J75" s="5"/>
      <c r="K75" s="5"/>
    </row>
  </sheetData>
  <sheetProtection algorithmName="SHA-512" hashValue="Z3SsBeXlB23Sjhm3qQSzWQF7qoqdAqBtviHZp/UiuQlgiyCAIewQUOi0N07qizn0ZGd4LNffNXqKKXvZxdZ5cA==" saltValue="iUF+3VCdl6EZuIgH8nP3jA==" spinCount="100000" sheet="1" selectLockedCells="1"/>
  <mergeCells count="5">
    <mergeCell ref="O1:Y1"/>
    <mergeCell ref="O2:Y2"/>
    <mergeCell ref="O3:Y3"/>
    <mergeCell ref="O4:Y4"/>
    <mergeCell ref="N5:Y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9A15-5FEB-42E3-A580-8DE0E2CEB88F}">
  <sheetPr>
    <tabColor theme="4" tint="0.59999389629810485"/>
  </sheetPr>
  <dimension ref="A1:S47"/>
  <sheetViews>
    <sheetView workbookViewId="0">
      <selection activeCell="C13" sqref="C13"/>
    </sheetView>
  </sheetViews>
  <sheetFormatPr defaultRowHeight="14.5"/>
  <cols>
    <col min="1" max="1" width="32.54296875" bestFit="1" customWidth="1"/>
    <col min="2" max="2" width="8.81640625" style="23"/>
    <col min="12" max="12" width="11.1796875" style="57" bestFit="1" customWidth="1"/>
    <col min="14" max="14" width="9.54296875" hidden="1" customWidth="1"/>
    <col min="15" max="19" width="9.26953125" hidden="1" customWidth="1"/>
  </cols>
  <sheetData>
    <row r="1" spans="1:19">
      <c r="A1" s="164" t="s">
        <v>159</v>
      </c>
      <c r="B1"/>
      <c r="E1" s="62" t="s">
        <v>4</v>
      </c>
      <c r="F1" s="62" t="s">
        <v>5</v>
      </c>
      <c r="G1" s="62" t="s">
        <v>23</v>
      </c>
      <c r="H1" s="62" t="s">
        <v>47</v>
      </c>
      <c r="I1" s="62" t="s">
        <v>48</v>
      </c>
      <c r="J1" s="62" t="s">
        <v>97</v>
      </c>
      <c r="L1" s="56" t="s">
        <v>21</v>
      </c>
    </row>
    <row r="2" spans="1:19">
      <c r="B2"/>
    </row>
    <row r="3" spans="1:19">
      <c r="B3"/>
      <c r="E3" s="223" t="s">
        <v>177</v>
      </c>
      <c r="F3" s="223" t="s">
        <v>177</v>
      </c>
      <c r="G3" s="223" t="s">
        <v>135</v>
      </c>
      <c r="H3" s="223" t="s">
        <v>135</v>
      </c>
      <c r="I3" s="223" t="s">
        <v>135</v>
      </c>
      <c r="J3" s="223" t="s">
        <v>135</v>
      </c>
    </row>
    <row r="5" spans="1:19">
      <c r="A5" s="1" t="s">
        <v>136</v>
      </c>
      <c r="B5" s="220" t="s">
        <v>153</v>
      </c>
      <c r="C5" s="221" t="s">
        <v>154</v>
      </c>
    </row>
    <row r="6" spans="1:19">
      <c r="A6" t="str">
        <f>IF('Salary Worksheet'!$B6&lt;&gt;"",'Salary Worksheet'!$B6,"")</f>
        <v/>
      </c>
      <c r="B6" s="203">
        <v>0</v>
      </c>
      <c r="C6" s="200"/>
      <c r="E6" s="6">
        <f>ROUND(IF(E$3="y",IF(AND($B6&gt;0,$C6=""),'Main Page'!E6*$B6,IF(AND($B6=0,$C6&gt;0),$C6,0)),0),0)</f>
        <v>0</v>
      </c>
      <c r="F6" s="6">
        <f>ROUND(IF(F$3="y",IF(AND($B6&gt;0,$C6=""),'Main Page'!F6*$B6,IF(AND($B6=0,$C6&gt;0),$C6,0)),0),0)</f>
        <v>0</v>
      </c>
      <c r="G6" s="6">
        <f>ROUND(IF(G$3="y",IF(AND($B6&gt;0,$C6=""),'Main Page'!G6*$B6,IF(AND($B6=0,$C6&gt;0),$C6,0)),0),0)</f>
        <v>0</v>
      </c>
      <c r="H6" s="6">
        <f>ROUND(IF(H$3="y",IF(AND($B6&gt;0,$C6=""),'Main Page'!H6*$B6,IF(AND($B6=0,$C6&gt;0),$C6,0)),0),0)</f>
        <v>0</v>
      </c>
      <c r="I6" s="6">
        <f>ROUND(IF(I$3="y",IF(AND($B6&gt;0,$C6=""),'Main Page'!I6*$B6,IF(AND($B6=0,$C6&gt;0),$C6,0)),0),0)</f>
        <v>0</v>
      </c>
      <c r="J6" s="6">
        <f>ROUND(IF(J$3="y",IF(AND($B6&gt;0,$C6=""),'Main Page'!J6*$B6,IF(AND($B6=0,$C6&gt;0),$C6,0)),0),0)</f>
        <v>0</v>
      </c>
      <c r="L6" s="57">
        <f>SUM(E6:J6,0)</f>
        <v>0</v>
      </c>
      <c r="N6">
        <f>IF($B6&gt;0,'Salary Worksheet'!J26*$B6,0)</f>
        <v>0</v>
      </c>
      <c r="O6">
        <f>IF($B6&gt;0,'Salary Worksheet'!V26*$B6,0)</f>
        <v>0</v>
      </c>
      <c r="P6">
        <f>IF($B6&gt;0,'Salary Worksheet'!J46*$B6,0)</f>
        <v>0</v>
      </c>
      <c r="Q6">
        <f>IF($B6&gt;0,'Salary Worksheet'!V46*$B6,0)</f>
        <v>0</v>
      </c>
      <c r="R6">
        <f>IF($B6&gt;0,'Salary Worksheet'!J66*$B6,0)</f>
        <v>0</v>
      </c>
      <c r="S6">
        <f>IF($B6&gt;0,'Salary Worksheet'!V66*$B6,0)</f>
        <v>0</v>
      </c>
    </row>
    <row r="7" spans="1:19">
      <c r="A7" t="str">
        <f>IF('Salary Worksheet'!$B7&lt;&gt;"",'Salary Worksheet'!$B7,"")</f>
        <v/>
      </c>
      <c r="B7" s="203">
        <v>0</v>
      </c>
      <c r="C7" s="222"/>
      <c r="E7" s="6">
        <f>ROUND(IF(E$3="y",IF(AND($B7&gt;0,$C7=""),'Main Page'!E7*$B7,IF(AND($B7=0,$C7&gt;0),$C7,0)),0),0)</f>
        <v>0</v>
      </c>
      <c r="F7" s="6">
        <f>ROUND(IF(F$3="y",IF(AND($B7&gt;0,$C7=""),'Main Page'!F7*$B7,IF(AND($B7=0,$C7&gt;0),$C7,0)),0),0)</f>
        <v>0</v>
      </c>
      <c r="G7" s="6">
        <f>ROUND(IF(G$3="y",IF(AND($B7&gt;0,$C7=""),'Main Page'!G7*$B7,IF(AND($B7=0,$C7&gt;0),$C7,0)),0),0)</f>
        <v>0</v>
      </c>
      <c r="H7" s="6">
        <f>ROUND(IF(H$3="y",IF(AND($B7&gt;0,$C7=""),'Main Page'!H7*$B7,IF(AND($B7=0,$C7&gt;0),$C7,0)),0),0)</f>
        <v>0</v>
      </c>
      <c r="I7" s="6">
        <f>ROUND(IF(I$3="y",IF(AND($B7&gt;0,$C7=""),'Main Page'!I7*$B7,IF(AND($B7=0,$C7&gt;0),$C7,0)),0),0)</f>
        <v>0</v>
      </c>
      <c r="J7" s="6">
        <f>ROUND(IF(J$3="y",IF(AND($B7&gt;0,$C7=""),'Main Page'!J7*$B7,IF(AND($B7=0,$C7&gt;0),$C7,0)),0),0)</f>
        <v>0</v>
      </c>
      <c r="L7" s="57">
        <f>SUM(E7:J7,0)</f>
        <v>0</v>
      </c>
      <c r="N7">
        <f>IF(B7&gt;0,'Salary Worksheet'!J27*B7,0)</f>
        <v>0</v>
      </c>
      <c r="O7">
        <f>IF($B7&gt;0,'Salary Worksheet'!V27*$B7,0)</f>
        <v>0</v>
      </c>
      <c r="P7">
        <f>IF($B7&gt;0,'Salary Worksheet'!J47*$B7,0)</f>
        <v>0</v>
      </c>
      <c r="Q7">
        <f>IF($B7&gt;0,'Salary Worksheet'!V47*$B7,0)</f>
        <v>0</v>
      </c>
      <c r="R7">
        <f>IF($B7&gt;0,'Salary Worksheet'!J67*$B7,0)</f>
        <v>0</v>
      </c>
      <c r="S7">
        <f>IF($B7&gt;0,'Salary Worksheet'!V67*$B7,0)</f>
        <v>0</v>
      </c>
    </row>
    <row r="8" spans="1:19">
      <c r="A8" t="str">
        <f>IF('Salary Worksheet'!$B8&lt;&gt;"",'Salary Worksheet'!$B8,"")</f>
        <v/>
      </c>
      <c r="B8" s="203">
        <v>0</v>
      </c>
      <c r="C8" s="222"/>
      <c r="E8" s="6">
        <f>ROUND(IF(E$3="y",IF(AND($B8&gt;0,$C8=""),'Main Page'!E8*$B8,IF(AND($B8=0,$C8&gt;0),$C8,0)),0),0)</f>
        <v>0</v>
      </c>
      <c r="F8" s="6">
        <f>ROUND(IF(F$3="y",IF(AND($B8&gt;0,$C8=""),'Main Page'!F8*$B8,IF(AND($B8=0,$C8&gt;0),$C8,0)),0),0)</f>
        <v>0</v>
      </c>
      <c r="G8" s="6">
        <f>ROUND(IF(G$3="y",IF(AND($B8&gt;0,$C8=""),'Main Page'!G8*$B8,IF(AND($B8=0,$C8&gt;0),$C8,0)),0),0)</f>
        <v>0</v>
      </c>
      <c r="H8" s="6">
        <f>ROUND(IF(H$3="y",IF(AND($B8&gt;0,$C8=""),'Main Page'!H8*$B8,IF(AND($B8=0,$C8&gt;0),$C8,0)),0),0)</f>
        <v>0</v>
      </c>
      <c r="I8" s="6">
        <f>ROUND(IF(I$3="y",IF(AND($B8&gt;0,$C8=""),'Main Page'!I8*$B8,IF(AND($B8=0,$C8&gt;0),$C8,0)),0),0)</f>
        <v>0</v>
      </c>
      <c r="J8" s="6">
        <f>ROUND(IF(J$3="y",IF(AND($B8&gt;0,$C8=""),'Main Page'!J8*$B8,IF(AND($B8=0,$C8&gt;0),$C8,0)),0),0)</f>
        <v>0</v>
      </c>
      <c r="L8" s="57">
        <f t="shared" ref="L8:L20" si="0">SUM(E8:J8,0)</f>
        <v>0</v>
      </c>
      <c r="N8">
        <f>IF(B8&gt;0,'Salary Worksheet'!J28*B8,0)</f>
        <v>0</v>
      </c>
      <c r="O8">
        <f>IF($B8&gt;0,'Salary Worksheet'!V28*$B8,0)</f>
        <v>0</v>
      </c>
      <c r="P8">
        <f>IF($B8&gt;0,'Salary Worksheet'!J48*$B8,0)</f>
        <v>0</v>
      </c>
      <c r="Q8">
        <f>IF($B8&gt;0,'Salary Worksheet'!V48*$B8,0)</f>
        <v>0</v>
      </c>
      <c r="R8">
        <f>IF($B8&gt;0,'Salary Worksheet'!J68*$B8,0)</f>
        <v>0</v>
      </c>
      <c r="S8">
        <f>IF($B8&gt;0,'Salary Worksheet'!V68*$B8,0)</f>
        <v>0</v>
      </c>
    </row>
    <row r="9" spans="1:19">
      <c r="A9" t="str">
        <f>IF('Salary Worksheet'!$B9&lt;&gt;"",'Salary Worksheet'!$B9,"")</f>
        <v/>
      </c>
      <c r="B9" s="203">
        <v>0</v>
      </c>
      <c r="C9" s="222"/>
      <c r="E9" s="6">
        <f>ROUND(IF(E$3="y",IF(AND($B9&gt;0,$C9=""),'Main Page'!E9*$B9,IF(AND($B9=0,$C9&gt;0),$C9,0)),0),0)</f>
        <v>0</v>
      </c>
      <c r="F9" s="6">
        <f>ROUND(IF(F$3="y",IF(AND($B9&gt;0,$C9=""),'Main Page'!F9*$B9,IF(AND($B9=0,$C9&gt;0),$C9,0)),0),0)</f>
        <v>0</v>
      </c>
      <c r="G9" s="6">
        <f>ROUND(IF(G$3="y",IF(AND($B9&gt;0,$C9=""),'Main Page'!G9*$B9,IF(AND($B9=0,$C9&gt;0),$C9,0)),0),0)</f>
        <v>0</v>
      </c>
      <c r="H9" s="6">
        <f>ROUND(IF(H$3="y",IF(AND($B9&gt;0,$C9=""),'Main Page'!H9*$B9,IF(AND($B9=0,$C9&gt;0),$C9,0)),0),0)</f>
        <v>0</v>
      </c>
      <c r="I9" s="6">
        <f>ROUND(IF(I$3="y",IF(AND($B9&gt;0,$C9=""),'Main Page'!I9*$B9,IF(AND($B9=0,$C9&gt;0),$C9,0)),0),0)</f>
        <v>0</v>
      </c>
      <c r="J9" s="6">
        <f>ROUND(IF(J$3="y",IF(AND($B9&gt;0,$C9=""),'Main Page'!J9*$B9,IF(AND($B9=0,$C9&gt;0),$C9,0)),0),0)</f>
        <v>0</v>
      </c>
      <c r="L9" s="57">
        <f t="shared" si="0"/>
        <v>0</v>
      </c>
      <c r="N9">
        <f>IF(B9&gt;0,'Salary Worksheet'!J29*B9,0)</f>
        <v>0</v>
      </c>
      <c r="O9">
        <f>IF($B9&gt;0,'Salary Worksheet'!V29*$B9,0)</f>
        <v>0</v>
      </c>
      <c r="P9">
        <f>IF($B9&gt;0,'Salary Worksheet'!J49*$B9,0)</f>
        <v>0</v>
      </c>
      <c r="Q9">
        <f>IF($B9&gt;0,'Salary Worksheet'!V49*$B9,0)</f>
        <v>0</v>
      </c>
      <c r="R9">
        <f>IF($B9&gt;0,'Salary Worksheet'!J69*$B9,0)</f>
        <v>0</v>
      </c>
      <c r="S9">
        <f>IF($B9&gt;0,'Salary Worksheet'!V69*$B9,0)</f>
        <v>0</v>
      </c>
    </row>
    <row r="10" spans="1:19">
      <c r="A10" t="str">
        <f>IF('Salary Worksheet'!$B10&lt;&gt;"",'Salary Worksheet'!$B10,"")</f>
        <v/>
      </c>
      <c r="B10" s="203">
        <v>0</v>
      </c>
      <c r="C10" s="222"/>
      <c r="E10" s="6">
        <f>ROUND(IF(E$3="y",IF(AND($B10&gt;0,$C10=""),'Main Page'!E10*$B10,IF(AND($B10=0,$C10&gt;0),$C10,0)),0),0)</f>
        <v>0</v>
      </c>
      <c r="F10" s="6">
        <f>ROUND(IF(F$3="y",IF(AND($B10&gt;0,$C10=""),'Main Page'!F10*$B10,IF(AND($B10=0,$C10&gt;0),$C10,0)),0),0)</f>
        <v>0</v>
      </c>
      <c r="G10" s="6">
        <f>ROUND(IF(G$3="y",IF(AND($B10&gt;0,$C10=""),'Main Page'!G10*$B10,IF(AND($B10=0,$C10&gt;0),$C10,0)),0),0)</f>
        <v>0</v>
      </c>
      <c r="H10" s="6">
        <f>ROUND(IF(H$3="y",IF(AND($B10&gt;0,$C10=""),'Main Page'!H10*$B10,IF(AND($B10=0,$C10&gt;0),$C10,0)),0),0)</f>
        <v>0</v>
      </c>
      <c r="I10" s="6">
        <f>ROUND(IF(I$3="y",IF(AND($B10&gt;0,$C10=""),'Main Page'!I10*$B10,IF(AND($B10=0,$C10&gt;0),$C10,0)),0),0)</f>
        <v>0</v>
      </c>
      <c r="J10" s="6">
        <f>ROUND(IF(J$3="y",IF(AND($B10&gt;0,$C10=""),'Main Page'!J10*$B10,IF(AND($B10=0,$C10&gt;0),$C10,0)),0),0)</f>
        <v>0</v>
      </c>
      <c r="L10" s="57">
        <f t="shared" si="0"/>
        <v>0</v>
      </c>
      <c r="N10">
        <f>IF(B10&gt;0,'Salary Worksheet'!J30*B10,0)</f>
        <v>0</v>
      </c>
      <c r="O10">
        <f>IF($B10&gt;0,'Salary Worksheet'!V30*$B10,0)</f>
        <v>0</v>
      </c>
      <c r="P10">
        <f>IF($B10&gt;0,'Salary Worksheet'!J50*$B10,0)</f>
        <v>0</v>
      </c>
      <c r="Q10">
        <f>IF($B10&gt;0,'Salary Worksheet'!V50*$B10,0)</f>
        <v>0</v>
      </c>
      <c r="R10">
        <f>IF($B10&gt;0,'Salary Worksheet'!J70*$B10,0)</f>
        <v>0</v>
      </c>
      <c r="S10">
        <f>IF($B10&gt;0,'Salary Worksheet'!V70*$B10,0)</f>
        <v>0</v>
      </c>
    </row>
    <row r="11" spans="1:19">
      <c r="A11" t="str">
        <f>IF('Salary Worksheet'!$B11&lt;&gt;"",'Salary Worksheet'!$B11,"")</f>
        <v/>
      </c>
      <c r="B11" s="203">
        <v>0</v>
      </c>
      <c r="C11" s="222"/>
      <c r="E11" s="6">
        <f>ROUND(IF(E$3="y",IF(AND($B11&gt;0,$C11=""),'Main Page'!E11*$B11,IF(AND($B11=0,$C11&gt;0),$C11,0)),0),0)</f>
        <v>0</v>
      </c>
      <c r="F11" s="6">
        <f>ROUND(IF(F$3="y",IF(AND($B11&gt;0,$C11=""),'Main Page'!F11*$B11,IF(AND($B11=0,$C11&gt;0),$C11,0)),0),0)</f>
        <v>0</v>
      </c>
      <c r="G11" s="6">
        <f>ROUND(IF(G$3="y",IF(AND($B11&gt;0,$C11=""),'Main Page'!G11*$B11,IF(AND($B11=0,$C11&gt;0),$C11,0)),0),0)</f>
        <v>0</v>
      </c>
      <c r="H11" s="6">
        <f>ROUND(IF(H$3="y",IF(AND($B11&gt;0,$C11=""),'Main Page'!H11*$B11,IF(AND($B11=0,$C11&gt;0),$C11,0)),0),0)</f>
        <v>0</v>
      </c>
      <c r="I11" s="6">
        <f>ROUND(IF(I$3="y",IF(AND($B11&gt;0,$C11=""),'Main Page'!I11*$B11,IF(AND($B11=0,$C11&gt;0),$C11,0)),0),0)</f>
        <v>0</v>
      </c>
      <c r="J11" s="6">
        <f>ROUND(IF(J$3="y",IF(AND($B11&gt;0,$C11=""),'Main Page'!J11*$B11,IF(AND($B11=0,$C11&gt;0),$C11,0)),0),0)</f>
        <v>0</v>
      </c>
      <c r="L11" s="57">
        <f>SUM(E11:J11,0)</f>
        <v>0</v>
      </c>
      <c r="N11">
        <f>IF(B11&gt;0,'Salary Worksheet'!J31*B11,0)</f>
        <v>0</v>
      </c>
      <c r="O11">
        <f>IF($B11&gt;0,'Salary Worksheet'!V31*$B11,0)</f>
        <v>0</v>
      </c>
      <c r="P11">
        <f>IF($B11&gt;0,'Salary Worksheet'!J51*$B11,0)</f>
        <v>0</v>
      </c>
      <c r="Q11">
        <f>IF($B11&gt;0,'Salary Worksheet'!V51*$B11,0)</f>
        <v>0</v>
      </c>
      <c r="R11">
        <f>IF($B11&gt;0,'Salary Worksheet'!J71*$B11,0)</f>
        <v>0</v>
      </c>
      <c r="S11">
        <f>IF($B11&gt;0,'Salary Worksheet'!V71*$B11,0)</f>
        <v>0</v>
      </c>
    </row>
    <row r="12" spans="1:19">
      <c r="A12" t="str">
        <f>IF('Salary Worksheet'!$B12&lt;&gt;"",'Salary Worksheet'!$B12,"")</f>
        <v/>
      </c>
      <c r="B12" s="203">
        <v>0</v>
      </c>
      <c r="C12" s="222"/>
      <c r="E12" s="6">
        <f>ROUND(IF(E$3="y",IF(AND($B12&gt;0,$C12=""),'Main Page'!E12*$B12,IF(AND($B12=0,$C12&gt;0),$C12,0)),0),0)</f>
        <v>0</v>
      </c>
      <c r="F12" s="6">
        <f>ROUND(IF(F$3="y",IF(AND($B12&gt;0,$C12=""),'Main Page'!F12*$B12,IF(AND($B12=0,$C12&gt;0),$C12,0)),0),0)</f>
        <v>0</v>
      </c>
      <c r="G12" s="6">
        <f>ROUND(IF(G$3="y",IF(AND($B12&gt;0,$C12=""),'Main Page'!G12*$B12,IF(AND($B12=0,$C12&gt;0),$C12,0)),0),0)</f>
        <v>0</v>
      </c>
      <c r="H12" s="6">
        <f>ROUND(IF(H$3="y",IF(AND($B12&gt;0,$C12=""),'Main Page'!H12*$B12,IF(AND($B12=0,$C12&gt;0),$C12,0)),0),0)</f>
        <v>0</v>
      </c>
      <c r="I12" s="6">
        <f>ROUND(IF(I$3="y",IF(AND($B12&gt;0,$C12=""),'Main Page'!I12*$B12,IF(AND($B12=0,$C12&gt;0),$C12,0)),0),0)</f>
        <v>0</v>
      </c>
      <c r="J12" s="6">
        <f>ROUND(IF(J$3="y",IF(AND($B12&gt;0,$C12=""),'Main Page'!J12*$B12,IF(AND($B12=0,$C12&gt;0),$C12,0)),0),0)</f>
        <v>0</v>
      </c>
      <c r="L12" s="57">
        <f t="shared" si="0"/>
        <v>0</v>
      </c>
      <c r="N12">
        <f>IF(B12&gt;0,'Salary Worksheet'!J32*B12,0)</f>
        <v>0</v>
      </c>
      <c r="O12">
        <f>IF($B12&gt;0,'Salary Worksheet'!V32*$B12,0)</f>
        <v>0</v>
      </c>
      <c r="P12">
        <f>IF($B12&gt;0,'Salary Worksheet'!J52*$B12,0)</f>
        <v>0</v>
      </c>
      <c r="Q12">
        <f>IF($B12&gt;0,'Salary Worksheet'!V52*$B12,0)</f>
        <v>0</v>
      </c>
      <c r="R12">
        <f>IF($B12&gt;0,'Salary Worksheet'!J72*$B12,0)</f>
        <v>0</v>
      </c>
      <c r="S12">
        <f>IF($B12&gt;0,'Salary Worksheet'!V72*$B12,0)</f>
        <v>0</v>
      </c>
    </row>
    <row r="13" spans="1:19">
      <c r="A13" t="str">
        <f>IF('Salary Worksheet'!$B13&lt;&gt;"",'Salary Worksheet'!$B13,"")</f>
        <v/>
      </c>
      <c r="B13" s="203">
        <v>0</v>
      </c>
      <c r="C13" s="222"/>
      <c r="E13" s="6">
        <f>ROUND(IF(E$3="y",IF(AND($B13&gt;0,$C13=""),'Main Page'!E13*$B13,IF(AND($B13=0,$C13&gt;0),$C13,0)),0),0)</f>
        <v>0</v>
      </c>
      <c r="F13" s="6">
        <f>ROUND(IF(F$3="y",IF(AND($B13&gt;0,$C13=""),'Main Page'!F13*$B13,IF(AND($B13=0,$C13&gt;0),$C13,0)),0),0)</f>
        <v>0</v>
      </c>
      <c r="G13" s="6">
        <f>ROUND(IF(G$3="y",IF(AND($B13&gt;0,$C13=""),'Main Page'!G13*$B13,IF(AND($B13=0,$C13&gt;0),$C13,0)),0),0)</f>
        <v>0</v>
      </c>
      <c r="H13" s="6">
        <f>ROUND(IF(H$3="y",IF(AND($B13&gt;0,$C13=""),'Main Page'!H13*$B13,IF(AND($B13=0,$C13&gt;0),$C13,0)),0),0)</f>
        <v>0</v>
      </c>
      <c r="I13" s="6">
        <f>ROUND(IF(I$3="y",IF(AND($B13&gt;0,$C13=""),'Main Page'!I13*$B13,IF(AND($B13=0,$C13&gt;0),$C13,0)),0),0)</f>
        <v>0</v>
      </c>
      <c r="J13" s="6">
        <f>ROUND(IF(J$3="y",IF(AND($B13&gt;0,$C13=""),'Main Page'!J13*$B13,IF(AND($B13=0,$C13&gt;0),$C13,0)),0),0)</f>
        <v>0</v>
      </c>
      <c r="L13" s="57">
        <f t="shared" si="0"/>
        <v>0</v>
      </c>
      <c r="N13">
        <f>IF(B13&gt;0,'Salary Worksheet'!J33*B13,0)</f>
        <v>0</v>
      </c>
      <c r="O13">
        <f>IF($B13&gt;0,'Salary Worksheet'!V33*$B13,0)</f>
        <v>0</v>
      </c>
      <c r="P13">
        <f>IF($B13&gt;0,'Salary Worksheet'!J53*$B13,0)</f>
        <v>0</v>
      </c>
      <c r="Q13">
        <f>IF($B13&gt;0,'Salary Worksheet'!V53*$B13,0)</f>
        <v>0</v>
      </c>
      <c r="R13">
        <f>IF($B13&gt;0,'Salary Worksheet'!J73*$B13,0)</f>
        <v>0</v>
      </c>
      <c r="S13">
        <f>IF($B13&gt;0,'Salary Worksheet'!V73*$B13,0)</f>
        <v>0</v>
      </c>
    </row>
    <row r="14" spans="1:19">
      <c r="A14" t="str">
        <f>IF('Salary Worksheet'!$B14&lt;&gt;"",'Salary Worksheet'!$B14,"")</f>
        <v/>
      </c>
      <c r="B14" s="203">
        <v>0</v>
      </c>
      <c r="C14" s="222"/>
      <c r="E14" s="6">
        <f>ROUND(IF(E$3="y",IF(AND($B14&gt;0,$C14=""),'Main Page'!E14*$B14,IF(AND($B14=0,$C14&gt;0),$C14,0)),0),0)</f>
        <v>0</v>
      </c>
      <c r="F14" s="6">
        <f>ROUND(IF(F$3="y",IF(AND($B14&gt;0,$C14=""),'Main Page'!F14*$B14,IF(AND($B14=0,$C14&gt;0),$C14,0)),0),0)</f>
        <v>0</v>
      </c>
      <c r="G14" s="6">
        <f>ROUND(IF(G$3="y",IF(AND($B14&gt;0,$C14=""),'Main Page'!G14*$B14,IF(AND($B14=0,$C14&gt;0),$C14,0)),0),0)</f>
        <v>0</v>
      </c>
      <c r="H14" s="6">
        <f>ROUND(IF(H$3="y",IF(AND($B14&gt;0,$C14=""),'Main Page'!H14*$B14,IF(AND($B14=0,$C14&gt;0),$C14,0)),0),0)</f>
        <v>0</v>
      </c>
      <c r="I14" s="6">
        <f>ROUND(IF(I$3="y",IF(AND($B14&gt;0,$C14=""),'Main Page'!I14*$B14,IF(AND($B14=0,$C14&gt;0),$C14,0)),0),0)</f>
        <v>0</v>
      </c>
      <c r="J14" s="6">
        <f>ROUND(IF(J$3="y",IF(AND($B14&gt;0,$C14=""),'Main Page'!J14*$B14,IF(AND($B14=0,$C14&gt;0),$C14,0)),0),0)</f>
        <v>0</v>
      </c>
      <c r="L14" s="57">
        <f t="shared" si="0"/>
        <v>0</v>
      </c>
      <c r="N14">
        <f>IF(B14&gt;0,'Salary Worksheet'!J34*B14,0)</f>
        <v>0</v>
      </c>
      <c r="O14">
        <f>IF($B14&gt;0,'Salary Worksheet'!V34*$B14,0)</f>
        <v>0</v>
      </c>
      <c r="P14">
        <f>IF($B14&gt;0,'Salary Worksheet'!J54*$B14,0)</f>
        <v>0</v>
      </c>
      <c r="Q14">
        <f>IF($B14&gt;0,'Salary Worksheet'!V54*$B14,0)</f>
        <v>0</v>
      </c>
      <c r="R14">
        <f>IF($B14&gt;0,'Salary Worksheet'!J74*$B14,0)</f>
        <v>0</v>
      </c>
      <c r="S14">
        <f>IF($B14&gt;0,'Salary Worksheet'!V74*$B14,0)</f>
        <v>0</v>
      </c>
    </row>
    <row r="15" spans="1:19">
      <c r="A15" t="str">
        <f>IF('Salary Worksheet'!$B15&lt;&gt;"",'Salary Worksheet'!$B15,"")</f>
        <v/>
      </c>
      <c r="B15" s="203">
        <v>0</v>
      </c>
      <c r="C15" s="222"/>
      <c r="E15" s="6">
        <f>ROUND(IF(E$3="y",IF(AND($B15&gt;0,$C15=""),'Main Page'!E15*$B15,IF(AND($B15=0,$C15&gt;0),$C15,0)),0),0)</f>
        <v>0</v>
      </c>
      <c r="F15" s="6">
        <f>ROUND(IF(F$3="y",IF(AND($B15&gt;0,$C15=""),'Main Page'!F15*$B15,IF(AND($B15=0,$C15&gt;0),$C15,0)),0),0)</f>
        <v>0</v>
      </c>
      <c r="G15" s="6">
        <f>ROUND(IF(G$3="y",IF(AND($B15&gt;0,$C15=""),'Main Page'!G15*$B15,IF(AND($B15=0,$C15&gt;0),$C15,0)),0),0)</f>
        <v>0</v>
      </c>
      <c r="H15" s="6">
        <f>ROUND(IF(H$3="y",IF(AND($B15&gt;0,$C15=""),'Main Page'!H15*$B15,IF(AND($B15=0,$C15&gt;0),$C15,0)),0),0)</f>
        <v>0</v>
      </c>
      <c r="I15" s="6">
        <f>ROUND(IF(I$3="y",IF(AND($B15&gt;0,$C15=""),'Main Page'!I15*$B15,IF(AND($B15=0,$C15&gt;0),$C15,0)),0),0)</f>
        <v>0</v>
      </c>
      <c r="J15" s="6">
        <f>ROUND(IF(J$3="y",IF(AND($B15&gt;0,$C15=""),'Main Page'!J15*$B15,IF(AND($B15=0,$C15&gt;0),$C15,0)),0),0)</f>
        <v>0</v>
      </c>
      <c r="L15" s="57">
        <f t="shared" si="0"/>
        <v>0</v>
      </c>
      <c r="N15">
        <f>IF(B15&gt;0,'Salary Worksheet'!J35*B15,0)</f>
        <v>0</v>
      </c>
      <c r="O15">
        <f>IF($B15&gt;0,'Salary Worksheet'!V35*$B15,0)</f>
        <v>0</v>
      </c>
      <c r="P15">
        <f>IF($B15&gt;0,'Salary Worksheet'!J55*$B15,0)</f>
        <v>0</v>
      </c>
      <c r="Q15">
        <f>IF($B15&gt;0,'Salary Worksheet'!V55*$B15,0)</f>
        <v>0</v>
      </c>
      <c r="R15">
        <f>IF($B15&gt;0,'Salary Worksheet'!J75*$B15,0)</f>
        <v>0</v>
      </c>
      <c r="S15">
        <f>IF($B15&gt;0,'Salary Worksheet'!V75*$B15,0)</f>
        <v>0</v>
      </c>
    </row>
    <row r="16" spans="1:19">
      <c r="A16" t="str">
        <f>IF('Salary Worksheet'!$B16&lt;&gt;"",'Salary Worksheet'!$B16,"")</f>
        <v/>
      </c>
      <c r="B16" s="203">
        <v>0</v>
      </c>
      <c r="C16" s="222"/>
      <c r="E16" s="6">
        <f>ROUND(IF(E$3="y",IF(AND($B16&gt;0,$C16=""),'Main Page'!E16*$B16,IF(AND($B16=0,$C16&gt;0),$C16,0)),0),0)</f>
        <v>0</v>
      </c>
      <c r="F16" s="6">
        <f>ROUND(IF(F$3="y",IF(AND($B16&gt;0,$C16=""),'Main Page'!F16*$B16,IF(AND($B16=0,$C16&gt;0),$C16,0)),0),0)</f>
        <v>0</v>
      </c>
      <c r="G16" s="6">
        <f>ROUND(IF(G$3="y",IF(AND($B16&gt;0,$C16=""),'Main Page'!G16*$B16,IF(AND($B16=0,$C16&gt;0),$C16,0)),0),0)</f>
        <v>0</v>
      </c>
      <c r="H16" s="6">
        <f>ROUND(IF(H$3="y",IF(AND($B16&gt;0,$C16=""),'Main Page'!H16*$B16,IF(AND($B16=0,$C16&gt;0),$C16,0)),0),0)</f>
        <v>0</v>
      </c>
      <c r="I16" s="6">
        <f>ROUND(IF(I$3="y",IF(AND($B16&gt;0,$C16=""),'Main Page'!I16*$B16,IF(AND($B16=0,$C16&gt;0),$C16,0)),0),0)</f>
        <v>0</v>
      </c>
      <c r="J16" s="6">
        <f>ROUND(IF(J$3="y",IF(AND($B16&gt;0,$C16=""),'Main Page'!J16*$B16,IF(AND($B16=0,$C16&gt;0),$C16,0)),0),0)</f>
        <v>0</v>
      </c>
      <c r="L16" s="57">
        <f t="shared" si="0"/>
        <v>0</v>
      </c>
      <c r="N16">
        <f>IF(B16&gt;0,'Salary Worksheet'!J36*B16,0)</f>
        <v>0</v>
      </c>
      <c r="O16">
        <f>IF($B16&gt;0,'Salary Worksheet'!V36*$B16,0)</f>
        <v>0</v>
      </c>
      <c r="P16">
        <f>IF($B16&gt;0,'Salary Worksheet'!J56*$B16,0)</f>
        <v>0</v>
      </c>
      <c r="Q16">
        <f>IF($B16&gt;0,'Salary Worksheet'!V56*$B16,0)</f>
        <v>0</v>
      </c>
      <c r="R16">
        <f>IF($B16&gt;0,'Salary Worksheet'!J76*$B16,0)</f>
        <v>0</v>
      </c>
      <c r="S16">
        <f>IF($B16&gt;0,'Salary Worksheet'!V76*$B16,0)</f>
        <v>0</v>
      </c>
    </row>
    <row r="17" spans="1:19">
      <c r="A17" t="str">
        <f>IF('Salary Worksheet'!$B17&lt;&gt;"",'Salary Worksheet'!$B17,"")</f>
        <v/>
      </c>
      <c r="B17" s="203">
        <v>0</v>
      </c>
      <c r="C17" s="222"/>
      <c r="E17" s="6">
        <f>ROUND(IF(E$3="y",IF(AND($B17&gt;0,$C17=""),'Main Page'!E17*$B17,IF(AND($B17=0,$C17&gt;0),$C17,0)),0),0)</f>
        <v>0</v>
      </c>
      <c r="F17" s="6">
        <f>ROUND(IF(F$3="y",IF(AND($B17&gt;0,$C17=""),'Main Page'!F17*$B17,IF(AND($B17=0,$C17&gt;0),$C17,0)),0),0)</f>
        <v>0</v>
      </c>
      <c r="G17" s="6">
        <f>ROUND(IF(G$3="y",IF(AND($B17&gt;0,$C17=""),'Main Page'!G17*$B17,IF(AND($B17=0,$C17&gt;0),$C17,0)),0),0)</f>
        <v>0</v>
      </c>
      <c r="H17" s="6">
        <f>ROUND(IF(H$3="y",IF(AND($B17&gt;0,$C17=""),'Main Page'!H17*$B17,IF(AND($B17=0,$C17&gt;0),$C17,0)),0),0)</f>
        <v>0</v>
      </c>
      <c r="I17" s="6">
        <f>ROUND(IF(I$3="y",IF(AND($B17&gt;0,$C17=""),'Main Page'!I17*$B17,IF(AND($B17=0,$C17&gt;0),$C17,0)),0),0)</f>
        <v>0</v>
      </c>
      <c r="J17" s="6">
        <f>ROUND(IF(J$3="y",IF(AND($B17&gt;0,$C17=""),'Main Page'!J17*$B17,IF(AND($B17=0,$C17&gt;0),$C17,0)),0),0)</f>
        <v>0</v>
      </c>
      <c r="L17" s="57">
        <f t="shared" si="0"/>
        <v>0</v>
      </c>
      <c r="N17">
        <f>IF(B17&gt;0,'Salary Worksheet'!J37*B17,0)</f>
        <v>0</v>
      </c>
      <c r="O17">
        <f>IF($B17&gt;0,'Salary Worksheet'!V37*$B17,0)</f>
        <v>0</v>
      </c>
      <c r="P17">
        <f>IF($B17&gt;0,'Salary Worksheet'!J57*$B17,0)</f>
        <v>0</v>
      </c>
      <c r="Q17">
        <f>IF($B17&gt;0,'Salary Worksheet'!V57*$B17,0)</f>
        <v>0</v>
      </c>
      <c r="R17">
        <f>IF($B17&gt;0,'Salary Worksheet'!J77*$B17,0)</f>
        <v>0</v>
      </c>
      <c r="S17">
        <f>IF($B17&gt;0,'Salary Worksheet'!V77*$B17,0)</f>
        <v>0</v>
      </c>
    </row>
    <row r="18" spans="1:19">
      <c r="A18" t="str">
        <f>IF('Salary Worksheet'!$B18&lt;&gt;"",'Salary Worksheet'!$B18,"")</f>
        <v/>
      </c>
      <c r="B18" s="203">
        <v>0</v>
      </c>
      <c r="C18" s="222"/>
      <c r="E18" s="6">
        <f>ROUND(IF(E$3="y",IF(AND($B18&gt;0,$C18=""),'Main Page'!E18*$B18,IF(AND($B18=0,$C18&gt;0),$C18,0)),0),0)</f>
        <v>0</v>
      </c>
      <c r="F18" s="6">
        <f>ROUND(IF(F$3="y",IF(AND($B18&gt;0,$C18=""),'Main Page'!F18*$B18,IF(AND($B18=0,$C18&gt;0),$C18,0)),0),0)</f>
        <v>0</v>
      </c>
      <c r="G18" s="6">
        <f>ROUND(IF(G$3="y",IF(AND($B18&gt;0,$C18=""),'Main Page'!G18*$B18,IF(AND($B18=0,$C18&gt;0),$C18,0)),0),0)</f>
        <v>0</v>
      </c>
      <c r="H18" s="6">
        <f>ROUND(IF(H$3="y",IF(AND($B18&gt;0,$C18=""),'Main Page'!H18*$B18,IF(AND($B18=0,$C18&gt;0),$C18,0)),0),0)</f>
        <v>0</v>
      </c>
      <c r="I18" s="6">
        <f>ROUND(IF(I$3="y",IF(AND($B18&gt;0,$C18=""),'Main Page'!I18*$B18,IF(AND($B18=0,$C18&gt;0),$C18,0)),0),0)</f>
        <v>0</v>
      </c>
      <c r="J18" s="6">
        <f>ROUND(IF(J$3="y",IF(AND($B18&gt;0,$C18=""),'Main Page'!J18*$B18,IF(AND($B18=0,$C18&gt;0),$C18,0)),0),0)</f>
        <v>0</v>
      </c>
      <c r="L18" s="57">
        <f t="shared" si="0"/>
        <v>0</v>
      </c>
      <c r="N18">
        <f>IF(B18&gt;0,'Salary Worksheet'!J38*B18,0)</f>
        <v>0</v>
      </c>
      <c r="O18">
        <f>IF($B18&gt;0,'Salary Worksheet'!V38*$B18,0)</f>
        <v>0</v>
      </c>
      <c r="P18">
        <f>IF($B18&gt;0,'Salary Worksheet'!J58*$B18,0)</f>
        <v>0</v>
      </c>
      <c r="Q18">
        <f>IF($B18&gt;0,'Salary Worksheet'!V58*$B18,0)</f>
        <v>0</v>
      </c>
      <c r="R18">
        <f>IF($B18&gt;0,'Salary Worksheet'!J78*$B18,0)</f>
        <v>0</v>
      </c>
      <c r="S18">
        <f>IF($B18&gt;0,'Salary Worksheet'!V78*$B18,0)</f>
        <v>0</v>
      </c>
    </row>
    <row r="19" spans="1:19">
      <c r="A19" t="str">
        <f>IF('Salary Worksheet'!$B19&lt;&gt;"",'Salary Worksheet'!$B19,"")</f>
        <v/>
      </c>
      <c r="B19" s="203">
        <v>0</v>
      </c>
      <c r="C19" s="222"/>
      <c r="E19" s="6">
        <f>ROUND(IF(E$3="y",IF(AND($B19&gt;0,$C19=""),'Main Page'!E19*$B19,IF(AND($B19=0,$C19&gt;0),$C19,0)),0),0)</f>
        <v>0</v>
      </c>
      <c r="F19" s="6">
        <f>ROUND(IF(F$3="y",IF(AND($B19&gt;0,$C19=""),'Main Page'!F19*$B19,IF(AND($B19=0,$C19&gt;0),$C19,0)),0),0)</f>
        <v>0</v>
      </c>
      <c r="G19" s="6">
        <f>ROUND(IF(G$3="y",IF(AND($B19&gt;0,$C19=""),'Main Page'!G19*$B19,IF(AND($B19=0,$C19&gt;0),$C19,0)),0),0)</f>
        <v>0</v>
      </c>
      <c r="H19" s="6">
        <f>ROUND(IF(H$3="y",IF(AND($B19&gt;0,$C19=""),'Main Page'!H19*$B19,IF(AND($B19=0,$C19&gt;0),$C19,0)),0),0)</f>
        <v>0</v>
      </c>
      <c r="I19" s="6">
        <f>ROUND(IF(I$3="y",IF(AND($B19&gt;0,$C19=""),'Main Page'!I19*$B19,IF(AND($B19=0,$C19&gt;0),$C19,0)),0),0)</f>
        <v>0</v>
      </c>
      <c r="J19" s="6">
        <f>ROUND(IF(J$3="y",IF(AND($B19&gt;0,$C19=""),'Main Page'!J19*$B19,IF(AND($B19=0,$C19&gt;0),$C19,0)),0),0)</f>
        <v>0</v>
      </c>
      <c r="L19" s="57">
        <f t="shared" si="0"/>
        <v>0</v>
      </c>
      <c r="N19">
        <f>IF(B19&gt;0,'Salary Worksheet'!J39*B19,0)</f>
        <v>0</v>
      </c>
      <c r="O19">
        <f>IF($B19&gt;0,'Salary Worksheet'!V39*$B19,0)</f>
        <v>0</v>
      </c>
      <c r="P19">
        <f>IF($B19&gt;0,'Salary Worksheet'!J59*$B19,0)</f>
        <v>0</v>
      </c>
      <c r="Q19">
        <f>IF($B19&gt;0,'Salary Worksheet'!V59*$B19,0)</f>
        <v>0</v>
      </c>
      <c r="R19">
        <f>IF($B19&gt;0,'Salary Worksheet'!J79*$B19,0)</f>
        <v>0</v>
      </c>
      <c r="S19">
        <f>IF($B19&gt;0,'Salary Worksheet'!V79*$B19,0)</f>
        <v>0</v>
      </c>
    </row>
    <row r="20" spans="1:19">
      <c r="A20" t="str">
        <f>IF('Salary Worksheet'!$B20&lt;&gt;"",'Salary Worksheet'!$B20,"")</f>
        <v/>
      </c>
      <c r="B20" s="203">
        <v>0</v>
      </c>
      <c r="C20" s="222"/>
      <c r="E20" s="6">
        <f>ROUND(IF(E$3="y",IF(AND($B20&gt;0,$C20=""),'Main Page'!E20*$B20,IF(AND($B20=0,$C20&gt;0),$C20,0)),0),0)</f>
        <v>0</v>
      </c>
      <c r="F20" s="6">
        <f>ROUND(IF(F$3="y",IF(AND($B20&gt;0,$C20=""),'Main Page'!F20*$B20,IF(AND($B20=0,$C20&gt;0),$C20,0)),0),0)</f>
        <v>0</v>
      </c>
      <c r="G20" s="6">
        <f>ROUND(IF(G$3="y",IF(AND($B20&gt;0,$C20=""),'Main Page'!G20*$B20,IF(AND($B20=0,$C20&gt;0),$C20,0)),0),0)</f>
        <v>0</v>
      </c>
      <c r="H20" s="6">
        <f>ROUND(IF(H$3="y",IF(AND($B20&gt;0,$C20=""),'Main Page'!H20*$B20,IF(AND($B20=0,$C20&gt;0),$C20,0)),0),0)</f>
        <v>0</v>
      </c>
      <c r="I20" s="6">
        <f>ROUND(IF(I$3="y",IF(AND($B20&gt;0,$C20=""),'Main Page'!I20*$B20,IF(AND($B20=0,$C20&gt;0),$C20,0)),0),0)</f>
        <v>0</v>
      </c>
      <c r="J20" s="6">
        <f>ROUND(IF(J$3="y",IF(AND($B20&gt;0,$C20=""),'Main Page'!J20*$B20,IF(AND($B20=0,$C20&gt;0),$C20,0)),0),0)</f>
        <v>0</v>
      </c>
      <c r="L20" s="57">
        <f t="shared" si="0"/>
        <v>0</v>
      </c>
      <c r="N20">
        <f>IF(B20&gt;0,'Salary Worksheet'!J40*B20,0)</f>
        <v>0</v>
      </c>
      <c r="O20">
        <f>IF($B20&gt;0,'Salary Worksheet'!V40*$B20,0)</f>
        <v>0</v>
      </c>
      <c r="P20">
        <f>IF($B20&gt;0,'Salary Worksheet'!J60*$B20,0)</f>
        <v>0</v>
      </c>
      <c r="Q20">
        <f>IF($B20&gt;0,'Salary Worksheet'!V60*$B20,0)</f>
        <v>0</v>
      </c>
      <c r="R20">
        <f>IF($B20&gt;0,'Salary Worksheet'!J80*$B20,0)</f>
        <v>0</v>
      </c>
      <c r="S20">
        <f>IF($B20&gt;0,'Salary Worksheet'!V80*$B20,0)</f>
        <v>0</v>
      </c>
    </row>
    <row r="21" spans="1:19">
      <c r="A21" t="str">
        <f>IF('Salary Worksheet'!$B21&lt;&gt;"",'Salary Worksheet'!$B21,"")</f>
        <v/>
      </c>
      <c r="B21" s="203">
        <v>0</v>
      </c>
      <c r="C21" s="222"/>
      <c r="E21" s="6">
        <f>ROUND(IF(E$3="y",IF(AND($B21&gt;0,$C21=""),'Main Page'!E21*$B21,IF(AND($B21=0,$C21&gt;0),$C21,0)),0),0)</f>
        <v>0</v>
      </c>
      <c r="F21" s="6">
        <f>ROUND(IF(F$3="y",IF(AND($B21&gt;0,$C21=""),'Main Page'!F21*$B21,IF(AND($B21=0,$C21&gt;0),$C21,0)),0),0)</f>
        <v>0</v>
      </c>
      <c r="G21" s="6">
        <f>ROUND(IF(G$3="y",IF(AND($B21&gt;0,$C21=""),'Main Page'!G21*$B21,IF(AND($B21=0,$C21&gt;0),$C21,0)),0),0)</f>
        <v>0</v>
      </c>
      <c r="H21" s="6">
        <f>ROUND(IF(H$3="y",IF(AND($B21&gt;0,$C21=""),'Main Page'!H21*$B21,IF(AND($B21=0,$C21&gt;0),$C21,0)),0),0)</f>
        <v>0</v>
      </c>
      <c r="I21" s="6">
        <f>ROUND(IF(I$3="y",IF(AND($B21&gt;0,$C21=""),'Main Page'!I21*$B21,IF(AND($B21=0,$C21&gt;0),$C21,0)),0),0)</f>
        <v>0</v>
      </c>
      <c r="J21" s="6">
        <f>ROUND(IF(J$3="y",IF(AND($B21&gt;0,$C21=""),'Main Page'!J21*$B21,IF(AND($B21=0,$C21&gt;0),$C21,0)),0),0)</f>
        <v>0</v>
      </c>
      <c r="L21" s="57">
        <f>SUM(E21:J21,0)</f>
        <v>0</v>
      </c>
      <c r="N21">
        <f>IF(B21&gt;0,'Salary Worksheet'!J41*B21,0)</f>
        <v>0</v>
      </c>
      <c r="O21">
        <f>IF($B21&gt;0,'Salary Worksheet'!V41*$B21,0)</f>
        <v>0</v>
      </c>
      <c r="P21">
        <f>IF($B21&gt;0,'Salary Worksheet'!J61*$B21,0)</f>
        <v>0</v>
      </c>
      <c r="Q21">
        <f>IF($B21&gt;0,'Salary Worksheet'!V61*$B21,0)</f>
        <v>0</v>
      </c>
      <c r="R21">
        <f>IF($B21&gt;0,'Salary Worksheet'!J81*$B21,0)</f>
        <v>0</v>
      </c>
      <c r="S21">
        <f>IF($B21&gt;0,'Salary Worksheet'!V81*$B21,0)</f>
        <v>0</v>
      </c>
    </row>
    <row r="22" spans="1:19">
      <c r="E22" s="6"/>
      <c r="F22" s="6"/>
      <c r="G22" s="6"/>
      <c r="H22" s="6"/>
      <c r="I22" s="6"/>
      <c r="J22" s="6"/>
    </row>
    <row r="23" spans="1:19">
      <c r="A23" s="1" t="s">
        <v>0</v>
      </c>
      <c r="B23" s="203">
        <v>0</v>
      </c>
      <c r="C23" s="222"/>
      <c r="E23" s="6">
        <f>ROUND(IF(AND($B23&gt;0,$C23=""),SUM(N6:N21,N23:N28),IF(AND($B23=0,$C23&gt;0),$C23,0)),0)</f>
        <v>0</v>
      </c>
      <c r="F23" s="6">
        <f t="shared" ref="F23:J23" si="1">ROUND(IF(AND($B23&gt;0,$C23=""),SUM(O6:O21,O23:O28),IF(AND($B23=0,$C23&gt;0),$C23,0)),0)</f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L23" s="57">
        <f>SUM(E23:J23,0)</f>
        <v>0</v>
      </c>
      <c r="N23">
        <f>IF($B6&gt;0,SUM('Course Buyout'!C13:C13,'Course Buyout'!C17:C17)*$B6,0)</f>
        <v>0</v>
      </c>
      <c r="O23">
        <f>IF($B6&gt;0,SUM('Course Buyout'!D13:D13,'Course Buyout'!D17:D17)*$B6,0)</f>
        <v>0</v>
      </c>
      <c r="P23">
        <f>IF($B6&gt;0,SUM('Course Buyout'!E13:E13,'Course Buyout'!E17:E17)*$B6,0)</f>
        <v>0</v>
      </c>
      <c r="Q23">
        <f>IF($B6&gt;0,SUM('Course Buyout'!F13:F13,'Course Buyout'!F17:F17)*$B6,0)</f>
        <v>0</v>
      </c>
      <c r="R23">
        <f>IF($B6&gt;0,SUM('Course Buyout'!G13:G13,'Course Buyout'!G17:G17)*$B6,0)</f>
        <v>0</v>
      </c>
      <c r="S23">
        <f>IF($B6&gt;0,SUM('Course Buyout'!H13:H13,'Course Buyout'!H17:H17)*$B6,0)</f>
        <v>0</v>
      </c>
    </row>
    <row r="24" spans="1:19">
      <c r="A24" s="3" t="s">
        <v>25</v>
      </c>
      <c r="E24" s="4">
        <f>SUM(E6:E23,0)</f>
        <v>0</v>
      </c>
      <c r="F24" s="4">
        <f t="shared" ref="F24:J24" si="2">SUM(F6:F23,0)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L24" s="57">
        <f>SUM(E24:J24,0)</f>
        <v>0</v>
      </c>
      <c r="N24">
        <f>IF($B7&gt;0,SUM('Course Buyout'!C27:C27,'Course Buyout'!C31:C31)*$B7,0)</f>
        <v>0</v>
      </c>
      <c r="O24">
        <f>IF($B7&gt;0,SUM('Course Buyout'!D27:D27,'Course Buyout'!D31:D31)*$B7,0)</f>
        <v>0</v>
      </c>
      <c r="P24">
        <f>IF($B7&gt;0,SUM('Course Buyout'!E27:E27,'Course Buyout'!E31:E31)*$B7,0)</f>
        <v>0</v>
      </c>
      <c r="Q24">
        <f>IF($B7&gt;0,SUM('Course Buyout'!F27:F27,'Course Buyout'!F31:F31)*$B7,0)</f>
        <v>0</v>
      </c>
      <c r="R24">
        <f>IF($B7&gt;0,SUM('Course Buyout'!G27:G27,'Course Buyout'!G31:G31)*$B7,0)</f>
        <v>0</v>
      </c>
      <c r="S24">
        <f>IF($B7&gt;0,SUM('Course Buyout'!H27:H27,'Course Buyout'!H31:H31)*$B7,0)</f>
        <v>0</v>
      </c>
    </row>
    <row r="25" spans="1:19">
      <c r="A25" s="3"/>
      <c r="E25" s="6"/>
      <c r="F25" s="6"/>
      <c r="G25" s="6"/>
      <c r="H25" s="6"/>
      <c r="I25" s="6"/>
      <c r="J25" s="6"/>
      <c r="N25">
        <f>IF($B8&gt;0,SUM('Course Buyout'!C41:C41,'Course Buyout'!C45:C45)*$B8,0)</f>
        <v>0</v>
      </c>
      <c r="O25">
        <f>IF($B8&gt;0,SUM('Course Buyout'!D41:D41,'Course Buyout'!D45:D45)*$B8,0)</f>
        <v>0</v>
      </c>
      <c r="P25">
        <f>IF($B8&gt;0,SUM('Course Buyout'!E41:E41,'Course Buyout'!E45:E45)*$B8,0)</f>
        <v>0</v>
      </c>
      <c r="Q25">
        <f>IF($B8&gt;0,SUM('Course Buyout'!F41:F41,'Course Buyout'!F45:F45)*$B8,0)</f>
        <v>0</v>
      </c>
      <c r="R25">
        <f>IF($B8&gt;0,SUM('Course Buyout'!G41:G41,'Course Buyout'!G45:G45)*$B8,0)</f>
        <v>0</v>
      </c>
      <c r="S25">
        <f>IF($B8&gt;0,SUM('Course Buyout'!H41:H41,'Course Buyout'!H45:H45)*$B8,0)</f>
        <v>0</v>
      </c>
    </row>
    <row r="26" spans="1:19">
      <c r="A26" s="1" t="s">
        <v>1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L26" s="57">
        <f>SUM(E26:J26,0)</f>
        <v>0</v>
      </c>
      <c r="N26">
        <f>IF($B9&gt;0,SUM('Course Buyout'!C55:C55,'Course Buyout'!C59:C59)*$B9,0)</f>
        <v>0</v>
      </c>
      <c r="O26">
        <f>IF($B9&gt;0,SUM('Course Buyout'!D55:D55,'Course Buyout'!D59:D59)*$B9,0)</f>
        <v>0</v>
      </c>
      <c r="P26">
        <f>IF($B9&gt;0,SUM('Course Buyout'!E55:E55,'Course Buyout'!E59:E59)*$B9,0)</f>
        <v>0</v>
      </c>
      <c r="Q26">
        <f>IF($B9&gt;0,SUM('Course Buyout'!F55:F55,'Course Buyout'!F59:F59)*$B9,0)</f>
        <v>0</v>
      </c>
      <c r="R26">
        <f>IF($B9&gt;0,SUM('Course Buyout'!G55:G55,'Course Buyout'!G59:G59)*$B9,0)</f>
        <v>0</v>
      </c>
      <c r="S26">
        <f>IF($B9&gt;0,SUM('Course Buyout'!H55:H55,'Course Buyout'!H59:H59)*$B9,0)</f>
        <v>0</v>
      </c>
    </row>
    <row r="27" spans="1:19">
      <c r="E27" s="6"/>
      <c r="F27" s="6"/>
      <c r="G27" s="6"/>
      <c r="H27" s="6"/>
      <c r="I27" s="6"/>
      <c r="J27" s="6"/>
      <c r="N27">
        <f>IF($B10&gt;0,SUM('Course Buyout'!C69:C69,'Course Buyout'!C73:C73)*$B10,0)</f>
        <v>0</v>
      </c>
      <c r="O27">
        <f>IF($B10&gt;0,SUM('Course Buyout'!D69:D69,'Course Buyout'!D73:D73)*$B10,0)</f>
        <v>0</v>
      </c>
      <c r="P27">
        <f>IF($B10&gt;0,SUM('Course Buyout'!E69:E69,'Course Buyout'!E73:E73)*$B10,0)</f>
        <v>0</v>
      </c>
      <c r="Q27">
        <f>IF($B10&gt;0,SUM('Course Buyout'!F69:F69,'Course Buyout'!F73:F73)*$B10,0)</f>
        <v>0</v>
      </c>
      <c r="R27">
        <f>IF($B10&gt;0,SUM('Course Buyout'!G69:G69,'Course Buyout'!G73:G73)*$B10,0)</f>
        <v>0</v>
      </c>
      <c r="S27">
        <f>IF($B10&gt;0,SUM('Course Buyout'!H69:H69,'Course Buyout'!H73:H73)*$B10,0)</f>
        <v>0</v>
      </c>
    </row>
    <row r="28" spans="1:19">
      <c r="A28" s="1" t="s">
        <v>2</v>
      </c>
      <c r="E28" s="6"/>
      <c r="F28" s="6"/>
      <c r="G28" s="6"/>
      <c r="H28" s="6"/>
      <c r="I28" s="6"/>
      <c r="J28" s="6"/>
      <c r="N28">
        <f>IF($B11&gt;0,SUM('Course Buyout'!C83:C83,'Course Buyout'!C87:C87)*$B11,0)</f>
        <v>0</v>
      </c>
      <c r="O28">
        <f>IF($B11&gt;0,SUM('Course Buyout'!D83:D83,'Course Buyout'!D87:D87)*$B11,0)</f>
        <v>0</v>
      </c>
      <c r="P28">
        <f>IF($B11&gt;0,SUM('Course Buyout'!E83:E83,'Course Buyout'!E87:E87)*$B11,0)</f>
        <v>0</v>
      </c>
      <c r="Q28">
        <f>IF($B11&gt;0,SUM('Course Buyout'!F83:F83,'Course Buyout'!F87:F87)*$B11,0)</f>
        <v>0</v>
      </c>
      <c r="R28">
        <f>IF($B11&gt;0,SUM('Course Buyout'!G83:G83,'Course Buyout'!G87:G87)*$B11,0)</f>
        <v>0</v>
      </c>
      <c r="S28">
        <f>IF($B11&gt;0,SUM('Course Buyout'!H83:H83,'Course Buyout'!H87:H87)*$B11,0)</f>
        <v>0</v>
      </c>
    </row>
    <row r="29" spans="1:19">
      <c r="A29" t="s">
        <v>6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L29" s="57">
        <f>SUM(E29:J29,0)</f>
        <v>0</v>
      </c>
    </row>
    <row r="30" spans="1:19">
      <c r="A30" t="s">
        <v>7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L30" s="57">
        <f>SUM(E30:J30,0)</f>
        <v>0</v>
      </c>
    </row>
    <row r="31" spans="1:19">
      <c r="E31" s="6"/>
      <c r="F31" s="6"/>
      <c r="G31" s="6"/>
      <c r="H31" s="6"/>
      <c r="I31" s="6"/>
      <c r="J31" s="6"/>
    </row>
    <row r="32" spans="1:19">
      <c r="A32" s="1" t="s">
        <v>8</v>
      </c>
      <c r="E32" s="219"/>
      <c r="F32" s="219"/>
      <c r="G32" s="219"/>
      <c r="H32" s="219"/>
      <c r="I32" s="219"/>
      <c r="J32" s="219"/>
      <c r="L32" s="57">
        <f>SUM(E32:J32,0)</f>
        <v>0</v>
      </c>
    </row>
    <row r="33" spans="1:12">
      <c r="E33" s="6"/>
      <c r="F33" s="6"/>
      <c r="G33" s="6"/>
      <c r="H33" s="6"/>
      <c r="I33" s="6"/>
      <c r="J33" s="6"/>
    </row>
    <row r="34" spans="1:12">
      <c r="A34" s="1" t="s">
        <v>9</v>
      </c>
      <c r="E34" s="6"/>
      <c r="F34" s="6"/>
      <c r="G34" s="6"/>
      <c r="H34" s="6"/>
      <c r="I34" s="6"/>
      <c r="J34" s="6"/>
    </row>
    <row r="35" spans="1:12">
      <c r="A35" t="s">
        <v>10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L35" s="57">
        <f t="shared" ref="L35:L40" si="3">SUM(E35:J35,0)</f>
        <v>0</v>
      </c>
    </row>
    <row r="36" spans="1:12">
      <c r="A36" t="s">
        <v>11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L36" s="57">
        <f t="shared" si="3"/>
        <v>0</v>
      </c>
    </row>
    <row r="37" spans="1:12">
      <c r="A37" t="s">
        <v>12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L37" s="57">
        <f t="shared" si="3"/>
        <v>0</v>
      </c>
    </row>
    <row r="38" spans="1:12">
      <c r="A38" t="s">
        <v>13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L38" s="57">
        <f t="shared" si="3"/>
        <v>0</v>
      </c>
    </row>
    <row r="39" spans="1:12">
      <c r="A39" t="s">
        <v>14</v>
      </c>
      <c r="E39" s="219"/>
      <c r="F39" s="219"/>
      <c r="G39" s="219"/>
      <c r="H39" s="219"/>
      <c r="I39" s="219"/>
      <c r="J39" s="219"/>
      <c r="L39" s="57">
        <f t="shared" si="3"/>
        <v>0</v>
      </c>
    </row>
    <row r="40" spans="1:12">
      <c r="A40" t="s">
        <v>15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L40" s="57">
        <f t="shared" si="3"/>
        <v>0</v>
      </c>
    </row>
    <row r="41" spans="1:12">
      <c r="A41" s="68" t="s">
        <v>137</v>
      </c>
      <c r="B41" s="68"/>
      <c r="C41" s="68"/>
      <c r="D41" s="68"/>
      <c r="E41" s="219"/>
      <c r="F41" s="219"/>
      <c r="G41" s="219"/>
      <c r="H41" s="219"/>
      <c r="I41" s="219"/>
      <c r="J41" s="219"/>
      <c r="K41" s="68"/>
      <c r="L41" s="167">
        <f>SUM(E41:J41,0)</f>
        <v>0</v>
      </c>
    </row>
    <row r="42" spans="1:12">
      <c r="A42" s="68" t="s">
        <v>138</v>
      </c>
      <c r="B42" s="203">
        <v>0</v>
      </c>
      <c r="C42" s="222"/>
      <c r="D42" s="68"/>
      <c r="E42" s="166">
        <f>ROUND(IF(AND($B42&gt;0,$C42=""),'Main Page'!E50*$B42,IF(AND($B42="",$C42&gt;0),$C42,0)),0)</f>
        <v>0</v>
      </c>
      <c r="F42" s="166">
        <f>ROUND(IF(AND($B42&gt;0,$C42=""),'Main Page'!F50*$B42,IF(AND($B42="",$C42&gt;0),$C42,0)),0)</f>
        <v>0</v>
      </c>
      <c r="G42" s="166">
        <f>ROUND(IF(AND($B42&gt;0,$C42=""),'Main Page'!G50*$B42,IF(AND($B42="",$C42&gt;0),$C42,0)),0)</f>
        <v>0</v>
      </c>
      <c r="H42" s="166">
        <f>ROUND(IF(AND($B42&gt;0,$C42=""),'Main Page'!H50*$B42,IF(AND($B42="",$C42&gt;0),$C42,0)),0)</f>
        <v>0</v>
      </c>
      <c r="I42" s="166">
        <f>ROUND(IF(AND($B42&gt;0,$C42=""),'Main Page'!I50*$B42,IF(AND($B42="",$C42&gt;0),$C42,0)),0)</f>
        <v>0</v>
      </c>
      <c r="J42" s="166">
        <f>ROUND(IF(AND($B42&gt;0,$C42=""),'Main Page'!J50*$B42,IF(AND($B42="",$C42&gt;0),$C42,0)),0)</f>
        <v>0</v>
      </c>
      <c r="K42" s="68"/>
      <c r="L42" s="167">
        <f>SUM(E42:J42,0)</f>
        <v>0</v>
      </c>
    </row>
    <row r="43" spans="1:12">
      <c r="A43" s="1" t="s">
        <v>16</v>
      </c>
      <c r="E43" s="6">
        <f>SUM(E6:E42,0)-E24-E41</f>
        <v>0</v>
      </c>
      <c r="F43" s="6">
        <f>SUM(F6:F42,0)-F24-F41</f>
        <v>0</v>
      </c>
      <c r="G43" s="6">
        <f>SUM(G6:G42,0)-G24-G41</f>
        <v>0</v>
      </c>
      <c r="H43" s="6">
        <f>SUM(H6:H42,0)-H24</f>
        <v>0</v>
      </c>
      <c r="I43" s="6">
        <f>SUM(I6:I42,0)-I24</f>
        <v>0</v>
      </c>
      <c r="J43" s="6">
        <f>SUM(J6:J42,0)-J24</f>
        <v>0</v>
      </c>
      <c r="L43" s="57">
        <f>SUM(E43:J43,0)</f>
        <v>0</v>
      </c>
    </row>
    <row r="44" spans="1:12">
      <c r="E44" s="6"/>
      <c r="F44" s="6"/>
      <c r="G44" s="6"/>
      <c r="H44" s="6"/>
      <c r="I44" s="6"/>
      <c r="J44" s="6"/>
    </row>
    <row r="45" spans="1:12">
      <c r="A45" s="1" t="s">
        <v>157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L45" s="57">
        <f>SUM(E45:J45,0)</f>
        <v>0</v>
      </c>
    </row>
    <row r="46" spans="1:12">
      <c r="E46" s="6"/>
      <c r="F46" s="6"/>
      <c r="G46" s="6"/>
      <c r="H46" s="6"/>
      <c r="I46" s="6"/>
      <c r="J46" s="6"/>
    </row>
    <row r="47" spans="1:12">
      <c r="A47" s="1" t="s">
        <v>158</v>
      </c>
      <c r="E47" s="6">
        <f>SUM(E43:E45)</f>
        <v>0</v>
      </c>
      <c r="F47" s="6">
        <f t="shared" ref="F47:J47" si="4">SUM(F43:F45)</f>
        <v>0</v>
      </c>
      <c r="G47" s="6">
        <f t="shared" si="4"/>
        <v>0</v>
      </c>
      <c r="H47" s="6">
        <f t="shared" si="4"/>
        <v>0</v>
      </c>
      <c r="I47" s="6">
        <f t="shared" si="4"/>
        <v>0</v>
      </c>
      <c r="J47" s="6">
        <f t="shared" si="4"/>
        <v>0</v>
      </c>
      <c r="L47" s="57">
        <f>SUM(E47:J47,0)</f>
        <v>0</v>
      </c>
    </row>
  </sheetData>
  <sheetProtection algorithmName="SHA-512" hashValue="H8SBy/6G/sA/RTrE/uRPNH0TLiWha5WXhjfBjD3MSQoThZIA2nO802AG0j0uzHsZC+Ne3ATHdebb6oSqnpFtig==" saltValue="KEN9WOCbtI33sQ6uPQjaEA==" spinCount="100000" sheet="1" objects="1" scenarios="1" selectLockedCells="1"/>
  <dataValidations count="1">
    <dataValidation type="list" allowBlank="1" showInputMessage="1" showErrorMessage="1" sqref="E3:J3" xr:uid="{26665ED7-CED8-4F05-B7BB-B37E367D47F3}">
      <formula1>"y,n"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BG82"/>
  <sheetViews>
    <sheetView topLeftCell="A16" zoomScale="75" zoomScaleNormal="75" workbookViewId="0">
      <selection activeCell="B80" sqref="B80"/>
    </sheetView>
  </sheetViews>
  <sheetFormatPr defaultColWidth="9.1796875" defaultRowHeight="14.5"/>
  <cols>
    <col min="1" max="1" width="10.36328125" customWidth="1"/>
    <col min="2" max="2" width="13.1796875" customWidth="1"/>
    <col min="3" max="3" width="13.54296875" bestFit="1" customWidth="1"/>
    <col min="4" max="4" width="25.36328125" customWidth="1"/>
    <col min="5" max="5" width="16" customWidth="1"/>
    <col min="6" max="6" width="13.54296875" customWidth="1"/>
    <col min="7" max="7" width="14.1796875" customWidth="1"/>
    <col min="8" max="8" width="13.36328125" customWidth="1"/>
    <col min="9" max="9" width="12.1796875" customWidth="1"/>
    <col min="10" max="12" width="13.1796875" customWidth="1"/>
    <col min="13" max="13" width="13.54296875" customWidth="1"/>
    <col min="14" max="14" width="14" customWidth="1"/>
    <col min="15" max="15" width="13" customWidth="1"/>
    <col min="16" max="16" width="13.36328125" customWidth="1"/>
    <col min="17" max="17" width="18.81640625" customWidth="1"/>
    <col min="18" max="18" width="14.6328125" customWidth="1"/>
    <col min="19" max="19" width="17.36328125" customWidth="1"/>
    <col min="20" max="20" width="12.7265625" customWidth="1"/>
    <col min="21" max="21" width="17.36328125" customWidth="1"/>
    <col min="22" max="23" width="13.36328125" customWidth="1"/>
    <col min="24" max="24" width="17" customWidth="1"/>
    <col min="25" max="25" width="9.54296875" customWidth="1"/>
    <col min="26" max="26" width="8.54296875" customWidth="1"/>
    <col min="27" max="27" width="7.36328125" customWidth="1"/>
    <col min="28" max="28" width="15.36328125" customWidth="1"/>
    <col min="29" max="29" width="6.36328125" customWidth="1"/>
    <col min="30" max="30" width="7.54296875" customWidth="1"/>
    <col min="31" max="31" width="8.1796875" customWidth="1"/>
    <col min="32" max="32" width="4.54296875" customWidth="1"/>
    <col min="33" max="33" width="15.54296875" customWidth="1"/>
    <col min="34" max="35" width="9.1796875" customWidth="1"/>
    <col min="36" max="40" width="5.54296875" customWidth="1"/>
    <col min="41" max="41" width="1.54296875" customWidth="1"/>
    <col min="42" max="48" width="5.36328125" hidden="1" customWidth="1"/>
    <col min="49" max="49" width="12.36328125" bestFit="1" customWidth="1"/>
    <col min="51" max="51" width="11.54296875" bestFit="1" customWidth="1"/>
    <col min="52" max="52" width="10.36328125" bestFit="1" customWidth="1"/>
    <col min="53" max="53" width="11.54296875" bestFit="1" customWidth="1"/>
  </cols>
  <sheetData>
    <row r="1" spans="1:59" ht="30" customHeight="1" thickBot="1">
      <c r="A1" s="75"/>
      <c r="B1" s="192"/>
      <c r="C1" s="319" t="s">
        <v>132</v>
      </c>
      <c r="D1" s="320"/>
      <c r="E1" s="321"/>
      <c r="F1" s="317" t="s">
        <v>139</v>
      </c>
      <c r="G1" s="318"/>
      <c r="H1" s="257"/>
      <c r="I1" s="193"/>
      <c r="K1" s="76"/>
      <c r="L1" s="76"/>
      <c r="M1" s="76"/>
      <c r="N1" s="77"/>
      <c r="O1" s="316"/>
      <c r="P1" s="316"/>
      <c r="Q1" s="78"/>
      <c r="R1" s="79"/>
      <c r="S1" s="80"/>
      <c r="T1" s="81"/>
      <c r="U1" s="75"/>
      <c r="V1" s="75"/>
      <c r="AA1" s="82"/>
      <c r="AB1" s="82"/>
      <c r="AC1" s="82"/>
      <c r="AD1" s="82"/>
      <c r="AE1" s="82"/>
      <c r="AF1" s="83"/>
      <c r="AG1" s="12"/>
      <c r="AH1" s="12"/>
      <c r="AQ1" s="131" t="b">
        <v>1</v>
      </c>
      <c r="AR1" t="b">
        <v>1</v>
      </c>
      <c r="AS1" t="b">
        <v>1</v>
      </c>
      <c r="AT1" t="b">
        <v>1</v>
      </c>
      <c r="AU1" t="b">
        <v>1</v>
      </c>
      <c r="AV1" t="b">
        <v>1</v>
      </c>
      <c r="AY1" s="14"/>
      <c r="AZ1" s="313"/>
      <c r="BA1" s="314"/>
      <c r="BB1" s="314"/>
      <c r="BC1" s="314"/>
      <c r="BD1" s="314"/>
      <c r="BE1" s="314"/>
      <c r="BF1" s="314"/>
      <c r="BG1" s="314"/>
    </row>
    <row r="2" spans="1:59" ht="30" customHeight="1">
      <c r="B2" s="84"/>
      <c r="C2" s="50" t="s">
        <v>133</v>
      </c>
      <c r="D2" s="51" t="s">
        <v>93</v>
      </c>
      <c r="E2" s="52" t="s">
        <v>134</v>
      </c>
      <c r="F2" s="50" t="s">
        <v>140</v>
      </c>
      <c r="G2" s="51" t="s">
        <v>141</v>
      </c>
      <c r="H2" s="258"/>
      <c r="I2" s="193"/>
      <c r="J2" s="217" t="s">
        <v>46</v>
      </c>
      <c r="K2" s="85" t="s">
        <v>76</v>
      </c>
      <c r="L2" s="230" t="s">
        <v>76</v>
      </c>
      <c r="M2" s="232" t="s">
        <v>76</v>
      </c>
      <c r="N2" s="86" t="s">
        <v>76</v>
      </c>
      <c r="O2" s="187" t="s">
        <v>76</v>
      </c>
      <c r="P2" s="87" t="s">
        <v>76</v>
      </c>
      <c r="Q2" s="88" t="s">
        <v>76</v>
      </c>
      <c r="R2" s="94" t="s">
        <v>144</v>
      </c>
      <c r="S2" s="90"/>
      <c r="T2" s="75"/>
      <c r="U2" s="75"/>
      <c r="Z2" s="91"/>
      <c r="AA2" s="91"/>
      <c r="AB2" s="91"/>
      <c r="AC2" s="91"/>
      <c r="AD2" s="82"/>
      <c r="AE2" s="92"/>
      <c r="AF2" s="12"/>
      <c r="AG2" s="12"/>
      <c r="AH2" s="12"/>
      <c r="AQ2" s="131" t="b">
        <v>1</v>
      </c>
      <c r="AR2" t="b">
        <v>1</v>
      </c>
      <c r="AS2" t="b">
        <v>1</v>
      </c>
      <c r="AT2" t="b">
        <v>1</v>
      </c>
      <c r="AU2" t="b">
        <v>1</v>
      </c>
      <c r="AV2" t="b">
        <v>1</v>
      </c>
      <c r="AY2" s="14"/>
      <c r="BA2" s="93"/>
      <c r="BB2" s="94"/>
      <c r="BC2" s="95"/>
      <c r="BD2" s="95"/>
      <c r="BE2" s="95"/>
      <c r="BF2" s="95"/>
      <c r="BG2" s="95"/>
    </row>
    <row r="3" spans="1:59" ht="16.5" customHeight="1" thickBot="1">
      <c r="B3" s="68"/>
      <c r="C3" s="69">
        <v>9</v>
      </c>
      <c r="D3" s="207">
        <f>E3*C3</f>
        <v>0</v>
      </c>
      <c r="E3" s="214">
        <v>0</v>
      </c>
      <c r="F3" s="215"/>
      <c r="G3" s="180">
        <f>F3*1.222</f>
        <v>0</v>
      </c>
      <c r="H3" s="259"/>
      <c r="I3" s="193"/>
      <c r="J3" s="213">
        <v>500000</v>
      </c>
      <c r="K3" s="208">
        <v>0.32200000000000001</v>
      </c>
      <c r="L3" s="225">
        <v>0.39500000000000002</v>
      </c>
      <c r="M3" s="233">
        <v>0.52700000000000002</v>
      </c>
      <c r="N3" s="209">
        <v>6.3E-2</v>
      </c>
      <c r="O3" s="210">
        <v>0.127</v>
      </c>
      <c r="P3" s="211">
        <v>0.127</v>
      </c>
      <c r="Q3" s="255">
        <v>0.03</v>
      </c>
      <c r="R3" s="183" t="s">
        <v>145</v>
      </c>
      <c r="S3" s="90"/>
      <c r="T3" s="94"/>
      <c r="U3" s="1"/>
      <c r="V3" s="1"/>
      <c r="W3" s="1"/>
      <c r="X3" s="1"/>
      <c r="Y3" s="1"/>
      <c r="Z3" s="1"/>
      <c r="AA3" s="244"/>
      <c r="AB3" s="96"/>
      <c r="AC3" s="97"/>
      <c r="AD3" s="15"/>
      <c r="AE3" s="12"/>
      <c r="AF3" s="12"/>
      <c r="AG3" s="12"/>
      <c r="AH3" s="12"/>
      <c r="AQ3" s="131" t="b">
        <v>1</v>
      </c>
      <c r="AR3" t="b">
        <v>1</v>
      </c>
      <c r="AS3" t="b">
        <v>1</v>
      </c>
      <c r="AT3" t="b">
        <v>1</v>
      </c>
      <c r="AU3" t="b">
        <v>1</v>
      </c>
      <c r="AV3" t="b">
        <v>1</v>
      </c>
      <c r="AY3" s="275"/>
      <c r="AZ3" s="98"/>
      <c r="BA3" s="94"/>
      <c r="BB3" s="94"/>
      <c r="BC3" s="99"/>
      <c r="BD3" s="75"/>
      <c r="BE3" s="99"/>
      <c r="BF3" s="99"/>
      <c r="BG3" s="99"/>
    </row>
    <row r="4" spans="1:59" ht="13.5" customHeight="1" thickBot="1">
      <c r="A4" s="100"/>
      <c r="B4" s="70"/>
      <c r="C4" s="70"/>
      <c r="D4" s="70"/>
      <c r="E4" s="70"/>
      <c r="F4" s="70"/>
      <c r="G4" s="71"/>
      <c r="H4" s="68"/>
      <c r="I4" s="194"/>
      <c r="J4" s="101"/>
      <c r="K4" s="102"/>
      <c r="L4" s="226"/>
      <c r="M4" s="234"/>
      <c r="N4" s="103"/>
      <c r="O4" s="191"/>
      <c r="P4" s="104"/>
      <c r="Q4" s="105"/>
      <c r="R4" s="89"/>
      <c r="S4" s="90"/>
      <c r="T4" s="2"/>
      <c r="X4" s="245"/>
      <c r="Y4" s="14"/>
      <c r="Z4" s="221"/>
      <c r="AA4" s="221"/>
      <c r="AB4" s="2"/>
      <c r="AC4" s="2"/>
      <c r="AD4" s="315"/>
      <c r="AE4" s="314"/>
      <c r="AF4" s="314"/>
      <c r="AG4" s="2"/>
      <c r="AH4" s="2"/>
      <c r="AQ4" s="131" t="b">
        <v>1</v>
      </c>
      <c r="AR4" t="b">
        <v>1</v>
      </c>
      <c r="AS4" t="b">
        <v>1</v>
      </c>
      <c r="AT4" t="b">
        <v>1</v>
      </c>
      <c r="AU4" t="b">
        <v>1</v>
      </c>
      <c r="AV4" t="b">
        <v>1</v>
      </c>
      <c r="AY4" s="275"/>
      <c r="AZ4" s="98"/>
      <c r="BA4" s="94"/>
      <c r="BB4" s="94"/>
      <c r="BC4" s="99"/>
      <c r="BD4" s="75"/>
      <c r="BE4" s="99"/>
      <c r="BF4" s="99"/>
      <c r="BG4" s="99"/>
    </row>
    <row r="5" spans="1:59" ht="58.4" customHeight="1" thickTop="1">
      <c r="A5" s="72"/>
      <c r="B5" s="322" t="s">
        <v>86</v>
      </c>
      <c r="C5" s="323"/>
      <c r="D5" s="67" t="s">
        <v>131</v>
      </c>
      <c r="E5" s="65" t="s">
        <v>93</v>
      </c>
      <c r="F5" s="65" t="s">
        <v>87</v>
      </c>
      <c r="G5" s="66" t="s">
        <v>92</v>
      </c>
      <c r="H5" s="66" t="s">
        <v>188</v>
      </c>
      <c r="I5" s="66" t="s">
        <v>150</v>
      </c>
      <c r="J5" s="106" t="s">
        <v>32</v>
      </c>
      <c r="K5" s="107" t="s">
        <v>162</v>
      </c>
      <c r="L5" s="228" t="s">
        <v>163</v>
      </c>
      <c r="M5" s="235" t="s">
        <v>164</v>
      </c>
      <c r="N5" s="108" t="s">
        <v>165</v>
      </c>
      <c r="O5" s="231" t="s">
        <v>167</v>
      </c>
      <c r="P5" s="109" t="s">
        <v>168</v>
      </c>
      <c r="Q5" s="240" t="s">
        <v>166</v>
      </c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Q5" s="131" t="b">
        <v>1</v>
      </c>
      <c r="AR5" t="b">
        <v>1</v>
      </c>
      <c r="AS5" t="b">
        <v>1</v>
      </c>
      <c r="AT5" t="b">
        <v>1</v>
      </c>
      <c r="AU5" t="b">
        <v>1</v>
      </c>
      <c r="AV5" t="b">
        <v>1</v>
      </c>
      <c r="AY5" s="275"/>
      <c r="AZ5" s="98"/>
      <c r="BA5" s="94"/>
      <c r="BB5" s="94"/>
      <c r="BC5" s="99"/>
      <c r="BD5" s="75"/>
      <c r="BE5" s="99"/>
      <c r="BF5" s="99"/>
      <c r="BG5" s="99"/>
    </row>
    <row r="6" spans="1:59" ht="15.75" customHeight="1">
      <c r="A6" s="110" t="s">
        <v>33</v>
      </c>
      <c r="B6" s="307"/>
      <c r="C6" s="308"/>
      <c r="D6" s="186"/>
      <c r="E6" s="111"/>
      <c r="F6" s="112"/>
      <c r="G6" s="112"/>
      <c r="H6" s="260"/>
      <c r="I6" s="112"/>
      <c r="J6" s="216">
        <f t="shared" ref="J6:J21" si="0">IFERROR(E6/D6,0)</f>
        <v>0</v>
      </c>
      <c r="K6" s="113">
        <v>0</v>
      </c>
      <c r="L6" s="229">
        <v>0</v>
      </c>
      <c r="M6" s="236">
        <v>0</v>
      </c>
      <c r="N6" s="114">
        <v>0</v>
      </c>
      <c r="O6" s="188">
        <v>0</v>
      </c>
      <c r="P6" s="115">
        <v>0</v>
      </c>
      <c r="Q6" s="241">
        <v>0</v>
      </c>
      <c r="R6" s="89"/>
      <c r="S6" s="90"/>
      <c r="Z6" s="23"/>
      <c r="AB6" s="23"/>
      <c r="AQ6" s="131" t="b">
        <v>1</v>
      </c>
      <c r="AR6" t="b">
        <v>1</v>
      </c>
      <c r="AS6" t="b">
        <v>1</v>
      </c>
      <c r="AT6" t="b">
        <v>1</v>
      </c>
      <c r="AU6" t="b">
        <v>1</v>
      </c>
      <c r="AV6" t="b">
        <v>1</v>
      </c>
      <c r="AY6" s="275"/>
      <c r="AZ6" s="98"/>
      <c r="BA6" s="94"/>
      <c r="BB6" s="94"/>
      <c r="BC6" s="99"/>
      <c r="BD6" s="75"/>
      <c r="BE6" s="99"/>
      <c r="BF6" s="99"/>
      <c r="BG6" s="99"/>
    </row>
    <row r="7" spans="1:59">
      <c r="A7" s="116" t="s">
        <v>34</v>
      </c>
      <c r="B7" s="304"/>
      <c r="C7" s="305"/>
      <c r="D7" s="186"/>
      <c r="E7" s="111"/>
      <c r="F7" s="112"/>
      <c r="G7" s="112"/>
      <c r="H7" s="260"/>
      <c r="I7" s="112"/>
      <c r="J7" s="216">
        <f t="shared" si="0"/>
        <v>0</v>
      </c>
      <c r="K7" s="113">
        <v>0</v>
      </c>
      <c r="L7" s="229">
        <v>0</v>
      </c>
      <c r="M7" s="236">
        <v>0</v>
      </c>
      <c r="N7" s="117">
        <v>0</v>
      </c>
      <c r="O7" s="189">
        <v>0</v>
      </c>
      <c r="P7" s="118">
        <v>0</v>
      </c>
      <c r="Q7" s="242">
        <v>0</v>
      </c>
      <c r="R7" s="89"/>
      <c r="S7" s="90"/>
      <c r="Z7" s="23"/>
      <c r="AQ7" s="131" t="b">
        <v>1</v>
      </c>
      <c r="AR7" t="b">
        <v>1</v>
      </c>
      <c r="AS7" t="b">
        <v>1</v>
      </c>
      <c r="AT7" t="b">
        <v>1</v>
      </c>
      <c r="AU7" t="b">
        <v>1</v>
      </c>
      <c r="AV7" t="b">
        <v>1</v>
      </c>
      <c r="AY7" s="275"/>
      <c r="AZ7" s="98"/>
      <c r="BA7" s="94"/>
      <c r="BB7" s="94"/>
      <c r="BC7" s="99"/>
      <c r="BD7" s="75"/>
      <c r="BE7" s="99"/>
      <c r="BF7" s="99"/>
      <c r="BG7" s="99"/>
    </row>
    <row r="8" spans="1:59">
      <c r="A8" s="110" t="s">
        <v>35</v>
      </c>
      <c r="B8" s="307"/>
      <c r="C8" s="308"/>
      <c r="D8" s="186"/>
      <c r="E8" s="111"/>
      <c r="F8" s="112"/>
      <c r="G8" s="112"/>
      <c r="H8" s="260"/>
      <c r="I8" s="112"/>
      <c r="J8" s="216">
        <f t="shared" si="0"/>
        <v>0</v>
      </c>
      <c r="K8" s="113">
        <v>0</v>
      </c>
      <c r="L8" s="229">
        <v>0</v>
      </c>
      <c r="M8" s="236">
        <v>0</v>
      </c>
      <c r="N8" s="117">
        <v>0</v>
      </c>
      <c r="O8" s="189">
        <v>0</v>
      </c>
      <c r="P8" s="118">
        <v>0</v>
      </c>
      <c r="Q8" s="242">
        <v>0</v>
      </c>
      <c r="R8" s="89"/>
      <c r="S8" s="90"/>
      <c r="AA8" s="6"/>
      <c r="AC8" s="271"/>
      <c r="AQ8" s="131" t="b">
        <v>1</v>
      </c>
      <c r="AR8" t="b">
        <v>1</v>
      </c>
      <c r="AS8" t="b">
        <v>1</v>
      </c>
      <c r="AT8" t="b">
        <v>1</v>
      </c>
      <c r="AU8" t="b">
        <v>1</v>
      </c>
      <c r="AV8" t="b">
        <v>1</v>
      </c>
      <c r="AY8" s="275"/>
      <c r="AZ8" s="98"/>
      <c r="BA8" s="94"/>
      <c r="BB8" s="94"/>
      <c r="BC8" s="99"/>
      <c r="BD8" s="75"/>
      <c r="BE8" s="99"/>
      <c r="BF8" s="99"/>
      <c r="BG8" s="99"/>
    </row>
    <row r="9" spans="1:59">
      <c r="A9" s="116" t="s">
        <v>36</v>
      </c>
      <c r="B9" s="304"/>
      <c r="C9" s="305"/>
      <c r="D9" s="186"/>
      <c r="E9" s="111"/>
      <c r="F9" s="112"/>
      <c r="G9" s="212"/>
      <c r="H9" s="261"/>
      <c r="I9" s="112"/>
      <c r="J9" s="216">
        <f t="shared" si="0"/>
        <v>0</v>
      </c>
      <c r="K9" s="113">
        <v>0</v>
      </c>
      <c r="L9" s="229">
        <v>0</v>
      </c>
      <c r="M9" s="236">
        <v>0</v>
      </c>
      <c r="N9" s="117">
        <v>0</v>
      </c>
      <c r="O9" s="190">
        <v>0</v>
      </c>
      <c r="P9" s="119">
        <v>0</v>
      </c>
      <c r="Q9" s="243">
        <v>0</v>
      </c>
      <c r="R9" s="89"/>
      <c r="S9" s="90"/>
      <c r="AQ9" s="131" t="b">
        <v>1</v>
      </c>
      <c r="AR9" t="b">
        <v>1</v>
      </c>
      <c r="AS9" t="b">
        <v>1</v>
      </c>
      <c r="AT9" t="b">
        <v>1</v>
      </c>
      <c r="AU9" t="b">
        <v>1</v>
      </c>
      <c r="AV9" t="b">
        <v>1</v>
      </c>
      <c r="AY9" s="275"/>
      <c r="AZ9" s="98"/>
      <c r="BA9" s="94"/>
      <c r="BB9" s="94"/>
      <c r="BC9" s="99"/>
      <c r="BD9" s="75"/>
      <c r="BE9" s="99"/>
      <c r="BF9" s="99"/>
      <c r="BG9" s="99"/>
    </row>
    <row r="10" spans="1:59">
      <c r="A10" s="110" t="s">
        <v>37</v>
      </c>
      <c r="B10" s="307"/>
      <c r="C10" s="308"/>
      <c r="D10" s="186"/>
      <c r="E10" s="111"/>
      <c r="F10" s="112"/>
      <c r="G10" s="112"/>
      <c r="H10" s="260"/>
      <c r="I10" s="112"/>
      <c r="J10" s="216">
        <f t="shared" si="0"/>
        <v>0</v>
      </c>
      <c r="K10" s="113">
        <v>0</v>
      </c>
      <c r="L10" s="229">
        <v>0</v>
      </c>
      <c r="M10" s="236">
        <v>0</v>
      </c>
      <c r="N10" s="117">
        <v>0</v>
      </c>
      <c r="O10" s="189">
        <v>0</v>
      </c>
      <c r="P10" s="118">
        <v>0</v>
      </c>
      <c r="Q10" s="242">
        <v>0</v>
      </c>
      <c r="R10" s="89"/>
      <c r="S10" s="90"/>
      <c r="AQ10" s="131" t="b">
        <v>1</v>
      </c>
      <c r="AR10" t="b">
        <v>1</v>
      </c>
      <c r="AS10" t="b">
        <v>1</v>
      </c>
      <c r="AT10" t="b">
        <v>1</v>
      </c>
      <c r="AU10" t="b">
        <v>1</v>
      </c>
      <c r="AV10" t="b">
        <v>1</v>
      </c>
      <c r="AY10" s="275"/>
      <c r="AZ10" s="98"/>
      <c r="BA10" s="94"/>
      <c r="BB10" s="94"/>
      <c r="BC10" s="99"/>
      <c r="BD10" s="75"/>
      <c r="BE10" s="99"/>
      <c r="BF10" s="99"/>
      <c r="BG10" s="99"/>
    </row>
    <row r="11" spans="1:59">
      <c r="A11" s="116" t="s">
        <v>38</v>
      </c>
      <c r="B11" s="304"/>
      <c r="C11" s="305"/>
      <c r="D11" s="186"/>
      <c r="E11" s="111"/>
      <c r="F11" s="112"/>
      <c r="G11" s="112"/>
      <c r="H11" s="260"/>
      <c r="I11" s="112"/>
      <c r="J11" s="216">
        <f t="shared" si="0"/>
        <v>0</v>
      </c>
      <c r="K11" s="113">
        <v>0</v>
      </c>
      <c r="L11" s="229">
        <v>0</v>
      </c>
      <c r="M11" s="236">
        <v>0</v>
      </c>
      <c r="N11" s="117">
        <v>0</v>
      </c>
      <c r="O11" s="189">
        <v>0</v>
      </c>
      <c r="P11" s="118">
        <v>0</v>
      </c>
      <c r="Q11" s="242">
        <v>0</v>
      </c>
      <c r="R11" s="89"/>
      <c r="S11" s="90"/>
      <c r="AA11" s="4"/>
      <c r="AB11" s="13"/>
      <c r="AP11" s="2"/>
      <c r="AQ11" t="b">
        <v>1</v>
      </c>
      <c r="AR11" t="b">
        <v>1</v>
      </c>
      <c r="AS11" t="b">
        <v>1</v>
      </c>
      <c r="AT11" s="1" t="b">
        <v>1</v>
      </c>
      <c r="AU11" t="b">
        <v>1</v>
      </c>
      <c r="AV11" t="b">
        <v>1</v>
      </c>
      <c r="AZ11" s="98"/>
      <c r="BA11" s="94"/>
      <c r="BB11" s="94"/>
      <c r="BC11" s="99"/>
      <c r="BD11" s="75"/>
      <c r="BE11" s="99"/>
      <c r="BF11" s="99"/>
      <c r="BG11" s="99"/>
    </row>
    <row r="12" spans="1:59">
      <c r="A12" s="110" t="s">
        <v>39</v>
      </c>
      <c r="B12" s="304"/>
      <c r="C12" s="304"/>
      <c r="D12" s="186"/>
      <c r="E12" s="111"/>
      <c r="F12" s="112"/>
      <c r="G12" s="112"/>
      <c r="H12" s="260"/>
      <c r="I12" s="206"/>
      <c r="J12" s="216">
        <f t="shared" si="0"/>
        <v>0</v>
      </c>
      <c r="K12" s="113">
        <v>0</v>
      </c>
      <c r="L12" s="229">
        <v>0</v>
      </c>
      <c r="M12" s="236">
        <v>0</v>
      </c>
      <c r="N12" s="117">
        <v>0</v>
      </c>
      <c r="O12" s="189">
        <v>0</v>
      </c>
      <c r="P12" s="118">
        <v>0</v>
      </c>
      <c r="Q12" s="242">
        <v>0</v>
      </c>
      <c r="R12" s="89"/>
      <c r="S12" s="90"/>
      <c r="AA12" s="4"/>
      <c r="AB12" s="14"/>
      <c r="AQ12" t="b">
        <v>1</v>
      </c>
      <c r="AR12" t="b">
        <v>1</v>
      </c>
      <c r="AS12" t="b">
        <v>1</v>
      </c>
      <c r="AT12" t="b">
        <v>1</v>
      </c>
      <c r="AU12" t="b">
        <v>1</v>
      </c>
      <c r="AV12" t="b">
        <v>1</v>
      </c>
      <c r="AZ12" s="98"/>
      <c r="BA12" s="94"/>
      <c r="BB12" s="94"/>
      <c r="BC12" s="99"/>
      <c r="BD12" s="75"/>
      <c r="BE12" s="99"/>
      <c r="BF12" s="99"/>
      <c r="BG12" s="99"/>
    </row>
    <row r="13" spans="1:59">
      <c r="A13" s="116" t="s">
        <v>40</v>
      </c>
      <c r="B13" s="304"/>
      <c r="C13" s="304"/>
      <c r="D13" s="186"/>
      <c r="E13" s="111"/>
      <c r="F13" s="112"/>
      <c r="G13" s="112"/>
      <c r="H13" s="260"/>
      <c r="I13" s="206"/>
      <c r="J13" s="216">
        <f t="shared" si="0"/>
        <v>0</v>
      </c>
      <c r="K13" s="113">
        <v>0</v>
      </c>
      <c r="L13" s="229">
        <v>0</v>
      </c>
      <c r="M13" s="236">
        <v>0</v>
      </c>
      <c r="N13" s="117">
        <v>0</v>
      </c>
      <c r="O13" s="189">
        <v>0</v>
      </c>
      <c r="P13" s="119">
        <v>0</v>
      </c>
      <c r="Q13" s="243">
        <v>0</v>
      </c>
      <c r="R13" s="89"/>
      <c r="S13" s="90"/>
      <c r="AA13" s="4"/>
      <c r="AB13" s="14"/>
      <c r="AP13" s="1"/>
      <c r="AQ13" s="1" t="b">
        <v>1</v>
      </c>
      <c r="AR13" s="98" t="b">
        <v>1</v>
      </c>
      <c r="AS13" s="272" t="b">
        <v>1</v>
      </c>
      <c r="AT13" s="1" t="b">
        <v>1</v>
      </c>
      <c r="AU13" s="1" t="b">
        <v>1</v>
      </c>
      <c r="AV13" t="b">
        <v>1</v>
      </c>
      <c r="AZ13" s="98"/>
      <c r="BA13" s="94"/>
      <c r="BB13" s="94"/>
      <c r="BC13" s="99"/>
      <c r="BD13" s="75"/>
      <c r="BE13" s="99"/>
      <c r="BF13" s="99"/>
      <c r="BG13" s="99"/>
    </row>
    <row r="14" spans="1:59">
      <c r="A14" s="110" t="s">
        <v>78</v>
      </c>
      <c r="B14" s="304"/>
      <c r="C14" s="305"/>
      <c r="D14" s="186"/>
      <c r="E14" s="111"/>
      <c r="F14" s="112"/>
      <c r="G14" s="112"/>
      <c r="H14" s="260"/>
      <c r="I14" s="206"/>
      <c r="J14" s="216">
        <f t="shared" si="0"/>
        <v>0</v>
      </c>
      <c r="K14" s="113">
        <v>0</v>
      </c>
      <c r="L14" s="229">
        <v>0</v>
      </c>
      <c r="M14" s="236">
        <v>0</v>
      </c>
      <c r="N14" s="117">
        <v>0</v>
      </c>
      <c r="O14" s="189">
        <v>0</v>
      </c>
      <c r="P14" s="118">
        <v>0</v>
      </c>
      <c r="Q14" s="242">
        <v>0</v>
      </c>
      <c r="R14" s="89"/>
      <c r="S14" s="90"/>
      <c r="T14" s="3"/>
      <c r="U14" s="3"/>
      <c r="V14" s="3"/>
      <c r="W14" s="3"/>
      <c r="X14" s="3"/>
      <c r="Y14" s="3"/>
      <c r="AA14" s="3"/>
      <c r="AB14" s="3"/>
      <c r="AC14" s="3"/>
      <c r="AP14" s="1"/>
      <c r="AQ14" s="1" t="b">
        <v>1</v>
      </c>
      <c r="AR14" s="98" t="b">
        <v>1</v>
      </c>
      <c r="AS14" s="272" t="b">
        <v>1</v>
      </c>
      <c r="AT14" s="1" t="b">
        <v>1</v>
      </c>
      <c r="AU14" s="1" t="b">
        <v>1</v>
      </c>
      <c r="AV14" t="b">
        <v>1</v>
      </c>
      <c r="AZ14" s="98"/>
      <c r="BA14" s="94"/>
      <c r="BB14" s="94"/>
      <c r="BC14" s="99"/>
      <c r="BD14" s="75"/>
      <c r="BE14" s="99"/>
      <c r="BF14" s="99"/>
      <c r="BG14" s="99"/>
    </row>
    <row r="15" spans="1:59">
      <c r="A15" s="116" t="s">
        <v>79</v>
      </c>
      <c r="B15" s="304"/>
      <c r="C15" s="305"/>
      <c r="D15" s="186"/>
      <c r="E15" s="111"/>
      <c r="F15" s="112"/>
      <c r="G15" s="112"/>
      <c r="H15" s="260"/>
      <c r="I15" s="206"/>
      <c r="J15" s="216">
        <f t="shared" si="0"/>
        <v>0</v>
      </c>
      <c r="K15" s="113">
        <v>0</v>
      </c>
      <c r="L15" s="229">
        <v>0</v>
      </c>
      <c r="M15" s="236">
        <v>0</v>
      </c>
      <c r="N15" s="117">
        <v>0</v>
      </c>
      <c r="O15" s="190">
        <v>0</v>
      </c>
      <c r="P15" s="118">
        <v>0</v>
      </c>
      <c r="Q15" s="242">
        <v>0</v>
      </c>
      <c r="R15" s="89"/>
      <c r="S15" s="90"/>
      <c r="AA15" s="99"/>
      <c r="AB15" s="99"/>
      <c r="AC15" s="273"/>
      <c r="AP15" s="1"/>
      <c r="AQ15" s="1" t="b">
        <v>1</v>
      </c>
      <c r="AR15" s="98" t="b">
        <v>1</v>
      </c>
      <c r="AS15" s="272" t="b">
        <v>1</v>
      </c>
      <c r="AT15" s="1" t="b">
        <v>1</v>
      </c>
      <c r="AU15" s="1" t="b">
        <v>1</v>
      </c>
      <c r="AV15" t="b">
        <v>1</v>
      </c>
      <c r="AZ15" s="98"/>
      <c r="BA15" s="94"/>
      <c r="BB15" s="94"/>
      <c r="BC15" s="99"/>
      <c r="BD15" s="75"/>
      <c r="BE15" s="99"/>
      <c r="BF15" s="99"/>
      <c r="BG15" s="99"/>
    </row>
    <row r="16" spans="1:59">
      <c r="A16" s="110" t="s">
        <v>80</v>
      </c>
      <c r="B16" s="304"/>
      <c r="C16" s="305"/>
      <c r="D16" s="186"/>
      <c r="E16" s="111"/>
      <c r="F16" s="112"/>
      <c r="G16" s="112"/>
      <c r="H16" s="260"/>
      <c r="I16" s="206"/>
      <c r="J16" s="216">
        <f t="shared" si="0"/>
        <v>0</v>
      </c>
      <c r="K16" s="113">
        <v>0</v>
      </c>
      <c r="L16" s="229">
        <v>0</v>
      </c>
      <c r="M16" s="236">
        <v>0</v>
      </c>
      <c r="N16" s="117">
        <v>0</v>
      </c>
      <c r="O16" s="189">
        <v>0</v>
      </c>
      <c r="P16" s="118">
        <v>0</v>
      </c>
      <c r="Q16" s="242">
        <v>0</v>
      </c>
      <c r="R16" s="89"/>
      <c r="S16" s="90"/>
      <c r="Z16" s="75"/>
      <c r="AA16" s="99"/>
      <c r="AB16" s="99"/>
      <c r="AC16" s="273"/>
      <c r="AP16" s="1"/>
      <c r="AQ16" s="1" t="b">
        <v>1</v>
      </c>
      <c r="AR16" s="98" t="b">
        <v>1</v>
      </c>
      <c r="AS16" s="272" t="b">
        <v>1</v>
      </c>
      <c r="AT16" s="1" t="b">
        <v>1</v>
      </c>
      <c r="AU16" s="1" t="b">
        <v>1</v>
      </c>
      <c r="AV16" t="b">
        <v>1</v>
      </c>
      <c r="AZ16" s="98"/>
      <c r="BA16" s="94"/>
      <c r="BB16" s="94"/>
      <c r="BC16" s="99"/>
      <c r="BD16" s="75"/>
      <c r="BE16" s="99"/>
      <c r="BF16" s="99"/>
      <c r="BG16" s="99"/>
    </row>
    <row r="17" spans="1:59">
      <c r="A17" s="116" t="s">
        <v>81</v>
      </c>
      <c r="B17" s="304"/>
      <c r="C17" s="305"/>
      <c r="D17" s="186"/>
      <c r="E17" s="111"/>
      <c r="F17" s="112"/>
      <c r="G17" s="112"/>
      <c r="H17" s="260"/>
      <c r="I17" s="206"/>
      <c r="J17" s="216">
        <f t="shared" si="0"/>
        <v>0</v>
      </c>
      <c r="K17" s="113">
        <v>0</v>
      </c>
      <c r="L17" s="229">
        <v>0</v>
      </c>
      <c r="M17" s="236">
        <v>0</v>
      </c>
      <c r="N17" s="117">
        <v>0</v>
      </c>
      <c r="O17" s="189">
        <v>0</v>
      </c>
      <c r="P17" s="119">
        <v>0</v>
      </c>
      <c r="Q17" s="243">
        <v>0</v>
      </c>
      <c r="R17" s="89"/>
      <c r="S17" s="90"/>
      <c r="Z17" s="75"/>
      <c r="AA17" s="47"/>
      <c r="AB17" s="99"/>
      <c r="AC17" s="273"/>
      <c r="AP17" s="1"/>
      <c r="AQ17" s="1"/>
      <c r="AR17" s="98"/>
      <c r="AS17" s="272"/>
      <c r="AT17" s="1"/>
      <c r="AU17" s="1"/>
      <c r="AZ17" s="98"/>
      <c r="BA17" s="94"/>
      <c r="BB17" s="94"/>
      <c r="BC17" s="99"/>
      <c r="BD17" s="75"/>
      <c r="BE17" s="99"/>
      <c r="BF17" s="99"/>
      <c r="BG17" s="99"/>
    </row>
    <row r="18" spans="1:59">
      <c r="A18" s="110" t="s">
        <v>82</v>
      </c>
      <c r="B18" s="304"/>
      <c r="C18" s="305"/>
      <c r="D18" s="186"/>
      <c r="E18" s="111"/>
      <c r="F18" s="112"/>
      <c r="G18" s="112"/>
      <c r="H18" s="260"/>
      <c r="I18" s="206"/>
      <c r="J18" s="216">
        <f t="shared" si="0"/>
        <v>0</v>
      </c>
      <c r="K18" s="113">
        <v>0</v>
      </c>
      <c r="L18" s="229">
        <v>0</v>
      </c>
      <c r="M18" s="236">
        <v>0</v>
      </c>
      <c r="N18" s="117">
        <v>0</v>
      </c>
      <c r="O18" s="189">
        <v>0</v>
      </c>
      <c r="P18" s="118">
        <v>0</v>
      </c>
      <c r="Q18" s="242">
        <v>0</v>
      </c>
      <c r="R18" s="89"/>
      <c r="S18" s="90"/>
      <c r="Z18" s="75"/>
      <c r="AA18" s="274"/>
      <c r="AB18" s="99"/>
      <c r="AC18" s="273"/>
      <c r="AP18" s="1"/>
      <c r="AQ18" s="1"/>
      <c r="AR18" s="98"/>
      <c r="AS18" s="272"/>
      <c r="AT18" s="1"/>
      <c r="AU18" s="1"/>
      <c r="AZ18" s="98"/>
      <c r="BA18" s="94"/>
      <c r="BB18" s="94"/>
      <c r="BC18" s="99"/>
      <c r="BD18" s="75"/>
      <c r="BE18" s="99"/>
      <c r="BF18" s="99"/>
      <c r="BG18" s="99"/>
    </row>
    <row r="19" spans="1:59">
      <c r="A19" s="116" t="s">
        <v>83</v>
      </c>
      <c r="B19" s="304"/>
      <c r="C19" s="305"/>
      <c r="D19" s="186"/>
      <c r="E19" s="111"/>
      <c r="F19" s="112"/>
      <c r="G19" s="112"/>
      <c r="H19" s="260"/>
      <c r="I19" s="206"/>
      <c r="J19" s="216">
        <f t="shared" si="0"/>
        <v>0</v>
      </c>
      <c r="K19" s="113">
        <v>0</v>
      </c>
      <c r="L19" s="229">
        <v>0</v>
      </c>
      <c r="M19" s="236">
        <v>0</v>
      </c>
      <c r="N19" s="117">
        <v>0</v>
      </c>
      <c r="O19" s="189">
        <v>0</v>
      </c>
      <c r="P19" s="118">
        <v>0</v>
      </c>
      <c r="Q19" s="242">
        <v>0</v>
      </c>
      <c r="R19" s="89"/>
      <c r="S19" s="90"/>
      <c r="U19" s="274"/>
      <c r="X19" s="1"/>
      <c r="Y19" s="1"/>
      <c r="Z19" s="75"/>
      <c r="AA19" s="274"/>
      <c r="AB19" s="99"/>
      <c r="AC19" s="273"/>
      <c r="AP19" s="1"/>
      <c r="AQ19" s="1"/>
      <c r="AR19" s="98"/>
      <c r="AS19" s="272"/>
      <c r="AT19" s="1"/>
      <c r="AU19" s="1"/>
      <c r="AZ19" s="75"/>
      <c r="BA19" s="94"/>
      <c r="BB19" s="75"/>
      <c r="BC19" s="99"/>
      <c r="BD19" s="99"/>
      <c r="BE19" s="99"/>
      <c r="BF19" s="99"/>
      <c r="BG19" s="99"/>
    </row>
    <row r="20" spans="1:59">
      <c r="A20" s="110" t="s">
        <v>84</v>
      </c>
      <c r="B20" s="304"/>
      <c r="C20" s="305"/>
      <c r="D20" s="186"/>
      <c r="E20" s="111"/>
      <c r="F20" s="112"/>
      <c r="G20" s="112"/>
      <c r="H20" s="260"/>
      <c r="I20" s="206"/>
      <c r="J20" s="216">
        <f t="shared" si="0"/>
        <v>0</v>
      </c>
      <c r="K20" s="113">
        <v>0</v>
      </c>
      <c r="L20" s="229">
        <v>0</v>
      </c>
      <c r="M20" s="236">
        <v>0</v>
      </c>
      <c r="N20" s="117">
        <v>0</v>
      </c>
      <c r="O20" s="189">
        <v>0</v>
      </c>
      <c r="P20" s="118">
        <v>0</v>
      </c>
      <c r="Q20" s="242">
        <v>0</v>
      </c>
      <c r="R20" s="89"/>
      <c r="S20" s="90"/>
      <c r="U20" s="274"/>
      <c r="V20" s="6"/>
      <c r="X20" s="1"/>
      <c r="Y20" s="1"/>
      <c r="Z20" s="75"/>
      <c r="AA20" s="1"/>
      <c r="AB20" s="99"/>
      <c r="AC20" s="273"/>
      <c r="AP20" s="1"/>
      <c r="AQ20" s="1"/>
      <c r="AR20" s="98"/>
      <c r="AS20" s="272"/>
      <c r="AT20" s="1"/>
      <c r="AU20" s="1"/>
    </row>
    <row r="21" spans="1:59">
      <c r="A21" s="116" t="s">
        <v>85</v>
      </c>
      <c r="B21" s="304"/>
      <c r="C21" s="305"/>
      <c r="D21" s="186"/>
      <c r="E21" s="111"/>
      <c r="F21" s="112"/>
      <c r="G21" s="112"/>
      <c r="H21" s="260"/>
      <c r="I21" s="206"/>
      <c r="J21" s="216">
        <f t="shared" si="0"/>
        <v>0</v>
      </c>
      <c r="K21" s="113">
        <v>0</v>
      </c>
      <c r="L21" s="229">
        <v>0</v>
      </c>
      <c r="M21" s="236">
        <v>0</v>
      </c>
      <c r="N21" s="117">
        <v>0</v>
      </c>
      <c r="O21" s="190">
        <v>0</v>
      </c>
      <c r="P21" s="119">
        <v>0</v>
      </c>
      <c r="Q21" s="243">
        <v>0</v>
      </c>
      <c r="R21" s="89"/>
      <c r="S21" s="90"/>
      <c r="U21" s="1"/>
      <c r="V21" s="98"/>
      <c r="W21" s="272"/>
      <c r="X21" s="1"/>
      <c r="Y21" s="1"/>
      <c r="Z21" s="75"/>
      <c r="AA21" s="99"/>
      <c r="AB21" s="99"/>
      <c r="AC21" s="273"/>
      <c r="AP21" s="1"/>
      <c r="AQ21" s="1"/>
      <c r="AR21" s="98"/>
      <c r="AS21" s="272"/>
      <c r="AT21" s="1"/>
      <c r="AU21" s="1"/>
    </row>
    <row r="22" spans="1:59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3"/>
      <c r="P22" s="75"/>
      <c r="Q22" s="89"/>
      <c r="R22" s="75"/>
      <c r="S22" s="99"/>
      <c r="T22" s="99"/>
      <c r="U22" s="99"/>
      <c r="V22" s="99"/>
      <c r="W22" s="99"/>
      <c r="X22" s="16"/>
      <c r="Y22" s="12"/>
      <c r="Z22" s="12"/>
      <c r="AA22" s="12"/>
      <c r="AB22" s="12"/>
      <c r="AN22" s="1"/>
      <c r="AO22" s="1"/>
    </row>
    <row r="23" spans="1:59"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3"/>
      <c r="Z23" s="3"/>
      <c r="AA23" s="3"/>
      <c r="AN23" s="1"/>
      <c r="AO23" s="1"/>
    </row>
    <row r="24" spans="1:59" ht="15" customHeight="1">
      <c r="A24" s="309" t="s">
        <v>89</v>
      </c>
      <c r="B24" s="306" t="s">
        <v>170</v>
      </c>
      <c r="C24" s="297" t="s">
        <v>45</v>
      </c>
      <c r="D24" s="298"/>
      <c r="E24" s="298"/>
      <c r="F24" s="298"/>
      <c r="G24" s="298"/>
      <c r="H24" s="298"/>
      <c r="I24" s="298"/>
      <c r="J24" s="298"/>
      <c r="K24" s="298"/>
      <c r="L24" s="224"/>
      <c r="M24" s="311" t="s">
        <v>89</v>
      </c>
      <c r="N24" s="299" t="s">
        <v>170</v>
      </c>
      <c r="O24" s="297" t="s">
        <v>41</v>
      </c>
      <c r="P24" s="298"/>
      <c r="Q24" s="298"/>
      <c r="R24" s="298"/>
      <c r="S24" s="298"/>
      <c r="T24" s="298"/>
      <c r="U24" s="298"/>
      <c r="V24" s="298"/>
      <c r="W24" s="298"/>
    </row>
    <row r="25" spans="1:59" ht="42.75" customHeight="1">
      <c r="A25" s="310"/>
      <c r="B25" s="306"/>
      <c r="C25" s="75"/>
      <c r="D25" s="93" t="s">
        <v>28</v>
      </c>
      <c r="E25" s="94" t="s">
        <v>29</v>
      </c>
      <c r="F25" s="95" t="s">
        <v>30</v>
      </c>
      <c r="G25" s="95" t="s">
        <v>169</v>
      </c>
      <c r="H25" s="95" t="s">
        <v>76</v>
      </c>
      <c r="I25" s="95" t="s">
        <v>31</v>
      </c>
      <c r="J25" s="95" t="s">
        <v>26</v>
      </c>
      <c r="K25" s="120" t="s">
        <v>27</v>
      </c>
      <c r="L25" s="95"/>
      <c r="M25" s="312"/>
      <c r="N25" s="300"/>
      <c r="O25" s="75"/>
      <c r="P25" s="93" t="s">
        <v>28</v>
      </c>
      <c r="Q25" s="94" t="s">
        <v>29</v>
      </c>
      <c r="R25" s="95" t="s">
        <v>30</v>
      </c>
      <c r="S25" s="95" t="s">
        <v>169</v>
      </c>
      <c r="T25" s="95" t="s">
        <v>76</v>
      </c>
      <c r="U25" s="95" t="s">
        <v>31</v>
      </c>
      <c r="V25" s="95" t="s">
        <v>26</v>
      </c>
      <c r="W25" s="120" t="s">
        <v>27</v>
      </c>
    </row>
    <row r="26" spans="1:59">
      <c r="A26" s="121"/>
      <c r="B26" s="237"/>
      <c r="C26" s="122" t="s">
        <v>33</v>
      </c>
      <c r="D26" s="123">
        <f>(B6)</f>
        <v>0</v>
      </c>
      <c r="E26" s="124" t="str">
        <f t="shared" ref="E26:E41" si="1">IF($K6&gt;0,"Faculty",IF($L6&gt;0,"Admin/Exec",IF($M6&gt;0,"Staff",IF($N6&gt;0,"OPS",IF($O6&gt;0,"Post Doc",IF($P6&gt;0,"Grad Asst",IF($Q6&gt;0,"MISC","")))))))</f>
        <v/>
      </c>
      <c r="F26" s="125">
        <f t="shared" ref="F26:F41" si="2">IF(AND($K6=0,$L6=0,$M6=0,$N6=0,$O6=0,$P6=0,$Q6=0),0,IF(AND($G6="y",$K6&gt;0,$K6&lt;=($J$3-($J$3*$F6))),$K6+($K6*$F6),IF(AND($K6&gt;0,$K6&lt;=($J$3)),($K6),IF(AND($G6="y",$L6&gt;0,$L6&lt;=($J$3-($J$3*$F6))),$L6+($L6*$F6),IF(AND($L6&gt;0,$L6&lt;=($J$3)),($L6),IF(AND($G6="y",$M6&gt;0,$M6&lt;=($J$3-($J$3*$F6))),$M6+($M6*$F6),IF(AND($M6&gt;0,$M6&lt;=($J$3)),($M6),IF(AND($G6="y",$N6&gt;0,$N6&lt;=($J$3-($J$3*$F6))),$N6+($N6*$F6),IF(AND($N6&gt;0,$K6&lt;=($J$3)),($N6),IF(AND($G6="y",$O6&gt;0,$O6&lt;=($J$3-($J$3*$F6))),$O6+($O6*$F6),IF(AND($O6&gt;0,$O6&lt;=($J$3)),($O6),IF(AND($G6="y",$P6&gt;0,$P6&lt;=($J$3-($J$3*$F6))),$P6+($P6*$F6),IF(AND($P6&gt;0,$P6&lt;=($J$3)),($P6),IF(AND($G6="y",$Q6&gt;0,$Q6&lt;=($J$3-($J$3*$F6))),$Q6+($Q6*$F6),IF(AND($Q6&gt;0,$Q6&lt;=($J$3)),($Q6))))))))))))))))</f>
        <v>0</v>
      </c>
      <c r="G26" s="238">
        <f t="shared" ref="G26:G41" si="3">IF((AQ1=TRUE),IF($B26&lt;&gt;"",B26/$D6,$J6))</f>
        <v>0</v>
      </c>
      <c r="H26" s="256">
        <f t="shared" ref="H26:H41" si="4">IF((AQ1=TRUE),IF(E26="",0,IF(E26="Faculty",$K$3,IF(E26="Admin/Exec",$L$3,IF(E26="Staff",$M$3,IF(E26="OPS",$N$3,IF(E26="Post Doc",$O$3,IF(E26="Grad Asst",$P$3,IF(E26="MISC",$N$3)))))))))</f>
        <v>0</v>
      </c>
      <c r="I26" s="125">
        <f t="shared" ref="I26:I41" si="5">IF((AQ1=TRUE),IF((B26&lt;=0),($F26*$J6),(F26*G26)))</f>
        <v>0</v>
      </c>
      <c r="J26" s="125">
        <f t="shared" ref="J26:J41" si="6">IF((AQ1=TRUE),(H26*I26),0)</f>
        <v>0</v>
      </c>
      <c r="K26" s="126">
        <f>SUM(I26:J26,0)</f>
        <v>0</v>
      </c>
      <c r="L26" s="99"/>
      <c r="M26" s="127"/>
      <c r="N26" s="237"/>
      <c r="O26" s="128" t="s">
        <v>33</v>
      </c>
      <c r="P26" s="123">
        <f t="shared" ref="P26:P41" si="7">B6</f>
        <v>0</v>
      </c>
      <c r="Q26" s="124" t="str">
        <f t="shared" ref="Q26:Q41" si="8">IF($K6&gt;0,"Faculty",IF($L6&gt;0,"Admin/Exec",IF($M6&gt;0,"Staff",IF($N6&gt;0,"OPS",IF($O6&gt;0,"Post Doc",IF($P6&gt;0,"Grad Asst",IF($Q6&gt;0,"MISC","")))))))</f>
        <v/>
      </c>
      <c r="R26" s="125">
        <f t="shared" ref="R26:R41" si="9">IF(($F26+($F26*$F6))&gt;$J$3,$J$3,($F26+($F26*$F6)))</f>
        <v>0</v>
      </c>
      <c r="S26" s="239">
        <f t="shared" ref="S26:S41" si="10">IF((AR1=TRUE),IF($N26&lt;&gt;"",N26/$D6,$J6))</f>
        <v>0</v>
      </c>
      <c r="T26" s="262">
        <f>IF(AR1=TRUE,H26*(1+H6),0)</f>
        <v>0</v>
      </c>
      <c r="U26" s="125">
        <f t="shared" ref="U26:U41" si="11">IF((AR1=TRUE),IF((N26&lt;=0),($R26*$J6),($R26*$S26)))</f>
        <v>0</v>
      </c>
      <c r="V26" s="125">
        <f>IF((AR1=TRUE),(T26*U26),0)</f>
        <v>0</v>
      </c>
      <c r="W26" s="126">
        <f>SUM(U26:V26,0)</f>
        <v>0</v>
      </c>
      <c r="Z26" s="98"/>
    </row>
    <row r="27" spans="1:59">
      <c r="A27" s="121"/>
      <c r="B27" s="237"/>
      <c r="C27" s="129" t="s">
        <v>34</v>
      </c>
      <c r="D27" s="123">
        <f t="shared" ref="D27:D41" si="12">(B7)</f>
        <v>0</v>
      </c>
      <c r="E27" s="124" t="str">
        <f t="shared" si="1"/>
        <v/>
      </c>
      <c r="F27" s="125">
        <f t="shared" si="2"/>
        <v>0</v>
      </c>
      <c r="G27" s="238">
        <f t="shared" si="3"/>
        <v>0</v>
      </c>
      <c r="H27" s="256">
        <f t="shared" si="4"/>
        <v>0</v>
      </c>
      <c r="I27" s="125">
        <f t="shared" si="5"/>
        <v>0</v>
      </c>
      <c r="J27" s="125">
        <f t="shared" si="6"/>
        <v>0</v>
      </c>
      <c r="K27" s="126">
        <f t="shared" ref="K27:K41" si="13">SUM(I27:J27,0)</f>
        <v>0</v>
      </c>
      <c r="L27" s="99"/>
      <c r="M27" s="127"/>
      <c r="N27" s="237"/>
      <c r="O27" s="130" t="s">
        <v>34</v>
      </c>
      <c r="P27" s="123">
        <f t="shared" si="7"/>
        <v>0</v>
      </c>
      <c r="Q27" s="124" t="str">
        <f t="shared" si="8"/>
        <v/>
      </c>
      <c r="R27" s="125">
        <f t="shared" si="9"/>
        <v>0</v>
      </c>
      <c r="S27" s="239">
        <f t="shared" si="10"/>
        <v>0</v>
      </c>
      <c r="T27" s="262">
        <f t="shared" ref="T27:T41" si="14">IF(AR2=TRUE,H27*(1+H7),0)</f>
        <v>0</v>
      </c>
      <c r="U27" s="125">
        <f t="shared" si="11"/>
        <v>0</v>
      </c>
      <c r="V27" s="125">
        <f t="shared" ref="V27:V41" si="15">IF((AR2=TRUE),(T27*U27),0)</f>
        <v>0</v>
      </c>
      <c r="W27" s="126">
        <f t="shared" ref="W27:W41" si="16">SUM(U27:V27,0)</f>
        <v>0</v>
      </c>
      <c r="Z27" s="98"/>
    </row>
    <row r="28" spans="1:59">
      <c r="A28" s="121"/>
      <c r="B28" s="237"/>
      <c r="C28" s="122" t="s">
        <v>35</v>
      </c>
      <c r="D28" s="123">
        <f t="shared" si="12"/>
        <v>0</v>
      </c>
      <c r="E28" s="124" t="str">
        <f t="shared" si="1"/>
        <v/>
      </c>
      <c r="F28" s="125">
        <f t="shared" si="2"/>
        <v>0</v>
      </c>
      <c r="G28" s="238">
        <f t="shared" si="3"/>
        <v>0</v>
      </c>
      <c r="H28" s="256">
        <f t="shared" si="4"/>
        <v>0</v>
      </c>
      <c r="I28" s="125">
        <f t="shared" si="5"/>
        <v>0</v>
      </c>
      <c r="J28" s="125">
        <f t="shared" si="6"/>
        <v>0</v>
      </c>
      <c r="K28" s="126">
        <f t="shared" si="13"/>
        <v>0</v>
      </c>
      <c r="L28" s="99"/>
      <c r="M28" s="127"/>
      <c r="N28" s="237"/>
      <c r="O28" s="128" t="s">
        <v>35</v>
      </c>
      <c r="P28" s="123">
        <f t="shared" si="7"/>
        <v>0</v>
      </c>
      <c r="Q28" s="124" t="str">
        <f t="shared" si="8"/>
        <v/>
      </c>
      <c r="R28" s="125">
        <f t="shared" si="9"/>
        <v>0</v>
      </c>
      <c r="S28" s="239">
        <f t="shared" si="10"/>
        <v>0</v>
      </c>
      <c r="T28" s="262">
        <f t="shared" si="14"/>
        <v>0</v>
      </c>
      <c r="U28" s="125">
        <f t="shared" si="11"/>
        <v>0</v>
      </c>
      <c r="V28" s="125">
        <f t="shared" si="15"/>
        <v>0</v>
      </c>
      <c r="W28" s="126">
        <f t="shared" si="16"/>
        <v>0</v>
      </c>
      <c r="Z28" s="98"/>
    </row>
    <row r="29" spans="1:59">
      <c r="A29" s="121"/>
      <c r="B29" s="237"/>
      <c r="C29" s="129" t="s">
        <v>36</v>
      </c>
      <c r="D29" s="123">
        <f t="shared" si="12"/>
        <v>0</v>
      </c>
      <c r="E29" s="124" t="str">
        <f t="shared" si="1"/>
        <v/>
      </c>
      <c r="F29" s="125">
        <f t="shared" si="2"/>
        <v>0</v>
      </c>
      <c r="G29" s="238">
        <f t="shared" si="3"/>
        <v>0</v>
      </c>
      <c r="H29" s="256">
        <f t="shared" si="4"/>
        <v>0</v>
      </c>
      <c r="I29" s="125">
        <f t="shared" si="5"/>
        <v>0</v>
      </c>
      <c r="J29" s="125">
        <f t="shared" si="6"/>
        <v>0</v>
      </c>
      <c r="K29" s="126">
        <f t="shared" si="13"/>
        <v>0</v>
      </c>
      <c r="L29" s="99"/>
      <c r="M29" s="127"/>
      <c r="N29" s="237"/>
      <c r="O29" s="130" t="s">
        <v>36</v>
      </c>
      <c r="P29" s="123">
        <f t="shared" si="7"/>
        <v>0</v>
      </c>
      <c r="Q29" s="124" t="str">
        <f t="shared" si="8"/>
        <v/>
      </c>
      <c r="R29" s="125">
        <f t="shared" si="9"/>
        <v>0</v>
      </c>
      <c r="S29" s="239">
        <f t="shared" si="10"/>
        <v>0</v>
      </c>
      <c r="T29" s="262">
        <f t="shared" si="14"/>
        <v>0</v>
      </c>
      <c r="U29" s="125">
        <f t="shared" si="11"/>
        <v>0</v>
      </c>
      <c r="V29" s="125">
        <f t="shared" si="15"/>
        <v>0</v>
      </c>
      <c r="W29" s="126">
        <f t="shared" si="16"/>
        <v>0</v>
      </c>
    </row>
    <row r="30" spans="1:59">
      <c r="A30" s="121"/>
      <c r="B30" s="237"/>
      <c r="C30" s="122" t="s">
        <v>37</v>
      </c>
      <c r="D30" s="123">
        <f t="shared" si="12"/>
        <v>0</v>
      </c>
      <c r="E30" s="124" t="str">
        <f t="shared" si="1"/>
        <v/>
      </c>
      <c r="F30" s="125">
        <f t="shared" si="2"/>
        <v>0</v>
      </c>
      <c r="G30" s="238">
        <f t="shared" si="3"/>
        <v>0</v>
      </c>
      <c r="H30" s="256">
        <f t="shared" si="4"/>
        <v>0</v>
      </c>
      <c r="I30" s="125">
        <f t="shared" si="5"/>
        <v>0</v>
      </c>
      <c r="J30" s="125">
        <f t="shared" si="6"/>
        <v>0</v>
      </c>
      <c r="K30" s="126">
        <f t="shared" si="13"/>
        <v>0</v>
      </c>
      <c r="L30" s="99"/>
      <c r="M30" s="127"/>
      <c r="N30" s="237"/>
      <c r="O30" s="128" t="s">
        <v>37</v>
      </c>
      <c r="P30" s="123">
        <f t="shared" si="7"/>
        <v>0</v>
      </c>
      <c r="Q30" s="124" t="str">
        <f t="shared" si="8"/>
        <v/>
      </c>
      <c r="R30" s="125">
        <f t="shared" si="9"/>
        <v>0</v>
      </c>
      <c r="S30" s="239">
        <f t="shared" si="10"/>
        <v>0</v>
      </c>
      <c r="T30" s="262">
        <f t="shared" si="14"/>
        <v>0</v>
      </c>
      <c r="U30" s="125">
        <f t="shared" si="11"/>
        <v>0</v>
      </c>
      <c r="V30" s="125">
        <f t="shared" si="15"/>
        <v>0</v>
      </c>
      <c r="W30" s="126">
        <f t="shared" si="16"/>
        <v>0</v>
      </c>
    </row>
    <row r="31" spans="1:59" ht="15" customHeight="1">
      <c r="A31" s="121"/>
      <c r="B31" s="237"/>
      <c r="C31" s="129" t="s">
        <v>38</v>
      </c>
      <c r="D31" s="123">
        <f t="shared" si="12"/>
        <v>0</v>
      </c>
      <c r="E31" s="124" t="str">
        <f t="shared" si="1"/>
        <v/>
      </c>
      <c r="F31" s="125">
        <f t="shared" si="2"/>
        <v>0</v>
      </c>
      <c r="G31" s="238">
        <f t="shared" si="3"/>
        <v>0</v>
      </c>
      <c r="H31" s="256">
        <f t="shared" si="4"/>
        <v>0</v>
      </c>
      <c r="I31" s="125">
        <f t="shared" si="5"/>
        <v>0</v>
      </c>
      <c r="J31" s="125">
        <f t="shared" si="6"/>
        <v>0</v>
      </c>
      <c r="K31" s="126">
        <f t="shared" si="13"/>
        <v>0</v>
      </c>
      <c r="L31" s="99"/>
      <c r="M31" s="127"/>
      <c r="N31" s="237"/>
      <c r="O31" s="130" t="s">
        <v>38</v>
      </c>
      <c r="P31" s="123">
        <f t="shared" si="7"/>
        <v>0</v>
      </c>
      <c r="Q31" s="124" t="str">
        <f t="shared" si="8"/>
        <v/>
      </c>
      <c r="R31" s="125">
        <f t="shared" si="9"/>
        <v>0</v>
      </c>
      <c r="S31" s="239">
        <f t="shared" si="10"/>
        <v>0</v>
      </c>
      <c r="T31" s="262">
        <f t="shared" si="14"/>
        <v>0</v>
      </c>
      <c r="U31" s="125">
        <f t="shared" si="11"/>
        <v>0</v>
      </c>
      <c r="V31" s="125">
        <f t="shared" si="15"/>
        <v>0</v>
      </c>
      <c r="W31" s="126">
        <f t="shared" si="16"/>
        <v>0</v>
      </c>
    </row>
    <row r="32" spans="1:59">
      <c r="A32" s="121"/>
      <c r="B32" s="237"/>
      <c r="C32" s="122" t="s">
        <v>39</v>
      </c>
      <c r="D32" s="123">
        <f t="shared" si="12"/>
        <v>0</v>
      </c>
      <c r="E32" s="124" t="str">
        <f t="shared" si="1"/>
        <v/>
      </c>
      <c r="F32" s="125">
        <f t="shared" si="2"/>
        <v>0</v>
      </c>
      <c r="G32" s="238">
        <f t="shared" si="3"/>
        <v>0</v>
      </c>
      <c r="H32" s="256">
        <f t="shared" si="4"/>
        <v>0</v>
      </c>
      <c r="I32" s="125">
        <f t="shared" si="5"/>
        <v>0</v>
      </c>
      <c r="J32" s="125">
        <f t="shared" si="6"/>
        <v>0</v>
      </c>
      <c r="K32" s="126">
        <f t="shared" si="13"/>
        <v>0</v>
      </c>
      <c r="L32" s="99"/>
      <c r="M32" s="127"/>
      <c r="N32" s="237"/>
      <c r="O32" s="128" t="s">
        <v>39</v>
      </c>
      <c r="P32" s="123">
        <f t="shared" si="7"/>
        <v>0</v>
      </c>
      <c r="Q32" s="124" t="str">
        <f t="shared" si="8"/>
        <v/>
      </c>
      <c r="R32" s="125">
        <f t="shared" si="9"/>
        <v>0</v>
      </c>
      <c r="S32" s="239">
        <f t="shared" si="10"/>
        <v>0</v>
      </c>
      <c r="T32" s="262">
        <f t="shared" si="14"/>
        <v>0</v>
      </c>
      <c r="U32" s="125">
        <f t="shared" si="11"/>
        <v>0</v>
      </c>
      <c r="V32" s="125">
        <f t="shared" si="15"/>
        <v>0</v>
      </c>
      <c r="W32" s="126">
        <f t="shared" si="16"/>
        <v>0</v>
      </c>
    </row>
    <row r="33" spans="1:37">
      <c r="A33" s="121"/>
      <c r="B33" s="237"/>
      <c r="C33" s="129" t="s">
        <v>40</v>
      </c>
      <c r="D33" s="123">
        <f t="shared" si="12"/>
        <v>0</v>
      </c>
      <c r="E33" s="124" t="str">
        <f t="shared" si="1"/>
        <v/>
      </c>
      <c r="F33" s="125">
        <f t="shared" si="2"/>
        <v>0</v>
      </c>
      <c r="G33" s="238">
        <f t="shared" si="3"/>
        <v>0</v>
      </c>
      <c r="H33" s="256">
        <f t="shared" si="4"/>
        <v>0</v>
      </c>
      <c r="I33" s="125">
        <f t="shared" si="5"/>
        <v>0</v>
      </c>
      <c r="J33" s="125">
        <f t="shared" si="6"/>
        <v>0</v>
      </c>
      <c r="K33" s="126">
        <f t="shared" si="13"/>
        <v>0</v>
      </c>
      <c r="L33" s="99"/>
      <c r="M33" s="127"/>
      <c r="N33" s="237"/>
      <c r="O33" s="130" t="s">
        <v>40</v>
      </c>
      <c r="P33" s="123">
        <f t="shared" si="7"/>
        <v>0</v>
      </c>
      <c r="Q33" s="124" t="str">
        <f t="shared" si="8"/>
        <v/>
      </c>
      <c r="R33" s="125">
        <f t="shared" si="9"/>
        <v>0</v>
      </c>
      <c r="S33" s="239">
        <f t="shared" si="10"/>
        <v>0</v>
      </c>
      <c r="T33" s="262">
        <f t="shared" si="14"/>
        <v>0</v>
      </c>
      <c r="U33" s="125">
        <f t="shared" si="11"/>
        <v>0</v>
      </c>
      <c r="V33" s="125">
        <f t="shared" si="15"/>
        <v>0</v>
      </c>
      <c r="W33" s="126">
        <f t="shared" si="16"/>
        <v>0</v>
      </c>
    </row>
    <row r="34" spans="1:37">
      <c r="A34" s="121"/>
      <c r="B34" s="237"/>
      <c r="C34" s="122" t="s">
        <v>78</v>
      </c>
      <c r="D34" s="123">
        <f t="shared" si="12"/>
        <v>0</v>
      </c>
      <c r="E34" s="124" t="str">
        <f t="shared" si="1"/>
        <v/>
      </c>
      <c r="F34" s="125">
        <f t="shared" si="2"/>
        <v>0</v>
      </c>
      <c r="G34" s="238">
        <f t="shared" si="3"/>
        <v>0</v>
      </c>
      <c r="H34" s="256">
        <f t="shared" si="4"/>
        <v>0</v>
      </c>
      <c r="I34" s="125">
        <f t="shared" si="5"/>
        <v>0</v>
      </c>
      <c r="J34" s="125">
        <f t="shared" si="6"/>
        <v>0</v>
      </c>
      <c r="K34" s="126">
        <f t="shared" si="13"/>
        <v>0</v>
      </c>
      <c r="L34" s="99"/>
      <c r="M34" s="127"/>
      <c r="N34" s="237"/>
      <c r="O34" s="128" t="s">
        <v>78</v>
      </c>
      <c r="P34" s="123">
        <f t="shared" si="7"/>
        <v>0</v>
      </c>
      <c r="Q34" s="124" t="str">
        <f t="shared" si="8"/>
        <v/>
      </c>
      <c r="R34" s="125">
        <f t="shared" si="9"/>
        <v>0</v>
      </c>
      <c r="S34" s="239">
        <f t="shared" si="10"/>
        <v>0</v>
      </c>
      <c r="T34" s="262">
        <f t="shared" si="14"/>
        <v>0</v>
      </c>
      <c r="U34" s="125">
        <f t="shared" si="11"/>
        <v>0</v>
      </c>
      <c r="V34" s="125">
        <f t="shared" si="15"/>
        <v>0</v>
      </c>
      <c r="W34" s="126">
        <f t="shared" si="16"/>
        <v>0</v>
      </c>
    </row>
    <row r="35" spans="1:37">
      <c r="A35" s="121"/>
      <c r="B35" s="237"/>
      <c r="C35" s="129" t="s">
        <v>79</v>
      </c>
      <c r="D35" s="123">
        <f t="shared" si="12"/>
        <v>0</v>
      </c>
      <c r="E35" s="124" t="str">
        <f t="shared" si="1"/>
        <v/>
      </c>
      <c r="F35" s="125">
        <f t="shared" si="2"/>
        <v>0</v>
      </c>
      <c r="G35" s="238">
        <f t="shared" si="3"/>
        <v>0</v>
      </c>
      <c r="H35" s="256">
        <f t="shared" si="4"/>
        <v>0</v>
      </c>
      <c r="I35" s="125">
        <f t="shared" si="5"/>
        <v>0</v>
      </c>
      <c r="J35" s="125">
        <f t="shared" si="6"/>
        <v>0</v>
      </c>
      <c r="K35" s="126">
        <f t="shared" si="13"/>
        <v>0</v>
      </c>
      <c r="L35" s="99"/>
      <c r="M35" s="127"/>
      <c r="N35" s="237"/>
      <c r="O35" s="130" t="s">
        <v>79</v>
      </c>
      <c r="P35" s="123">
        <f t="shared" si="7"/>
        <v>0</v>
      </c>
      <c r="Q35" s="124" t="str">
        <f t="shared" si="8"/>
        <v/>
      </c>
      <c r="R35" s="125">
        <f t="shared" si="9"/>
        <v>0</v>
      </c>
      <c r="S35" s="239">
        <f t="shared" si="10"/>
        <v>0</v>
      </c>
      <c r="T35" s="262">
        <f t="shared" si="14"/>
        <v>0</v>
      </c>
      <c r="U35" s="125">
        <f t="shared" si="11"/>
        <v>0</v>
      </c>
      <c r="V35" s="125">
        <f t="shared" si="15"/>
        <v>0</v>
      </c>
      <c r="W35" s="126">
        <f t="shared" si="16"/>
        <v>0</v>
      </c>
    </row>
    <row r="36" spans="1:37">
      <c r="A36" s="121"/>
      <c r="B36" s="237"/>
      <c r="C36" s="122" t="s">
        <v>80</v>
      </c>
      <c r="D36" s="123">
        <f t="shared" si="12"/>
        <v>0</v>
      </c>
      <c r="E36" s="124" t="str">
        <f t="shared" si="1"/>
        <v/>
      </c>
      <c r="F36" s="125">
        <f t="shared" si="2"/>
        <v>0</v>
      </c>
      <c r="G36" s="238">
        <f t="shared" si="3"/>
        <v>0</v>
      </c>
      <c r="H36" s="256">
        <f t="shared" si="4"/>
        <v>0</v>
      </c>
      <c r="I36" s="125">
        <f t="shared" si="5"/>
        <v>0</v>
      </c>
      <c r="J36" s="125">
        <f t="shared" si="6"/>
        <v>0</v>
      </c>
      <c r="K36" s="126">
        <f t="shared" si="13"/>
        <v>0</v>
      </c>
      <c r="L36" s="99"/>
      <c r="M36" s="127"/>
      <c r="N36" s="237"/>
      <c r="O36" s="128" t="s">
        <v>80</v>
      </c>
      <c r="P36" s="123">
        <f t="shared" si="7"/>
        <v>0</v>
      </c>
      <c r="Q36" s="124" t="str">
        <f t="shared" si="8"/>
        <v/>
      </c>
      <c r="R36" s="125">
        <f t="shared" si="9"/>
        <v>0</v>
      </c>
      <c r="S36" s="239">
        <f t="shared" si="10"/>
        <v>0</v>
      </c>
      <c r="T36" s="262">
        <f t="shared" si="14"/>
        <v>0</v>
      </c>
      <c r="U36" s="125">
        <f t="shared" si="11"/>
        <v>0</v>
      </c>
      <c r="V36" s="125">
        <f t="shared" si="15"/>
        <v>0</v>
      </c>
      <c r="W36" s="126">
        <f t="shared" si="16"/>
        <v>0</v>
      </c>
    </row>
    <row r="37" spans="1:37">
      <c r="A37" s="121"/>
      <c r="B37" s="237"/>
      <c r="C37" s="129" t="s">
        <v>81</v>
      </c>
      <c r="D37" s="123">
        <f t="shared" si="12"/>
        <v>0</v>
      </c>
      <c r="E37" s="124" t="str">
        <f t="shared" si="1"/>
        <v/>
      </c>
      <c r="F37" s="125">
        <f t="shared" si="2"/>
        <v>0</v>
      </c>
      <c r="G37" s="238">
        <f t="shared" si="3"/>
        <v>0</v>
      </c>
      <c r="H37" s="256">
        <f t="shared" si="4"/>
        <v>0</v>
      </c>
      <c r="I37" s="125">
        <f t="shared" si="5"/>
        <v>0</v>
      </c>
      <c r="J37" s="125">
        <f t="shared" si="6"/>
        <v>0</v>
      </c>
      <c r="K37" s="126">
        <f t="shared" si="13"/>
        <v>0</v>
      </c>
      <c r="L37" s="99"/>
      <c r="M37" s="127"/>
      <c r="N37" s="237"/>
      <c r="O37" s="130" t="s">
        <v>81</v>
      </c>
      <c r="P37" s="123">
        <f t="shared" si="7"/>
        <v>0</v>
      </c>
      <c r="Q37" s="124" t="str">
        <f t="shared" si="8"/>
        <v/>
      </c>
      <c r="R37" s="125">
        <f t="shared" si="9"/>
        <v>0</v>
      </c>
      <c r="S37" s="239">
        <f t="shared" si="10"/>
        <v>0</v>
      </c>
      <c r="T37" s="262">
        <f t="shared" si="14"/>
        <v>0</v>
      </c>
      <c r="U37" s="125">
        <f t="shared" si="11"/>
        <v>0</v>
      </c>
      <c r="V37" s="125">
        <f t="shared" si="15"/>
        <v>0</v>
      </c>
      <c r="W37" s="126">
        <f t="shared" si="16"/>
        <v>0</v>
      </c>
    </row>
    <row r="38" spans="1:37">
      <c r="A38" s="121"/>
      <c r="B38" s="237"/>
      <c r="C38" s="122" t="s">
        <v>82</v>
      </c>
      <c r="D38" s="123">
        <f t="shared" si="12"/>
        <v>0</v>
      </c>
      <c r="E38" s="124" t="str">
        <f t="shared" si="1"/>
        <v/>
      </c>
      <c r="F38" s="125">
        <f t="shared" si="2"/>
        <v>0</v>
      </c>
      <c r="G38" s="238">
        <f t="shared" si="3"/>
        <v>0</v>
      </c>
      <c r="H38" s="256">
        <f t="shared" si="4"/>
        <v>0</v>
      </c>
      <c r="I38" s="125">
        <f t="shared" si="5"/>
        <v>0</v>
      </c>
      <c r="J38" s="125">
        <f t="shared" si="6"/>
        <v>0</v>
      </c>
      <c r="K38" s="126">
        <f t="shared" si="13"/>
        <v>0</v>
      </c>
      <c r="L38" s="99"/>
      <c r="M38" s="127"/>
      <c r="N38" s="237"/>
      <c r="O38" s="128" t="s">
        <v>82</v>
      </c>
      <c r="P38" s="123">
        <f t="shared" si="7"/>
        <v>0</v>
      </c>
      <c r="Q38" s="124" t="str">
        <f t="shared" si="8"/>
        <v/>
      </c>
      <c r="R38" s="125">
        <f t="shared" si="9"/>
        <v>0</v>
      </c>
      <c r="S38" s="239">
        <f t="shared" si="10"/>
        <v>0</v>
      </c>
      <c r="T38" s="262">
        <f t="shared" si="14"/>
        <v>0</v>
      </c>
      <c r="U38" s="125">
        <f t="shared" si="11"/>
        <v>0</v>
      </c>
      <c r="V38" s="125">
        <f t="shared" si="15"/>
        <v>0</v>
      </c>
      <c r="W38" s="126">
        <f t="shared" si="16"/>
        <v>0</v>
      </c>
    </row>
    <row r="39" spans="1:37">
      <c r="A39" s="121"/>
      <c r="B39" s="237"/>
      <c r="C39" s="129" t="s">
        <v>83</v>
      </c>
      <c r="D39" s="123">
        <f t="shared" si="12"/>
        <v>0</v>
      </c>
      <c r="E39" s="124" t="str">
        <f t="shared" si="1"/>
        <v/>
      </c>
      <c r="F39" s="125">
        <f t="shared" si="2"/>
        <v>0</v>
      </c>
      <c r="G39" s="238">
        <f t="shared" si="3"/>
        <v>0</v>
      </c>
      <c r="H39" s="256">
        <f t="shared" si="4"/>
        <v>0</v>
      </c>
      <c r="I39" s="125">
        <f t="shared" si="5"/>
        <v>0</v>
      </c>
      <c r="J39" s="125">
        <f t="shared" si="6"/>
        <v>0</v>
      </c>
      <c r="K39" s="126">
        <f t="shared" si="13"/>
        <v>0</v>
      </c>
      <c r="L39" s="99"/>
      <c r="M39" s="127"/>
      <c r="N39" s="237"/>
      <c r="O39" s="130" t="s">
        <v>83</v>
      </c>
      <c r="P39" s="123">
        <f t="shared" si="7"/>
        <v>0</v>
      </c>
      <c r="Q39" s="124" t="str">
        <f t="shared" si="8"/>
        <v/>
      </c>
      <c r="R39" s="125">
        <f t="shared" si="9"/>
        <v>0</v>
      </c>
      <c r="S39" s="239">
        <f t="shared" si="10"/>
        <v>0</v>
      </c>
      <c r="T39" s="262">
        <f t="shared" si="14"/>
        <v>0</v>
      </c>
      <c r="U39" s="125">
        <f t="shared" si="11"/>
        <v>0</v>
      </c>
      <c r="V39" s="125">
        <f t="shared" si="15"/>
        <v>0</v>
      </c>
      <c r="W39" s="126">
        <f t="shared" si="16"/>
        <v>0</v>
      </c>
    </row>
    <row r="40" spans="1:37">
      <c r="A40" s="121"/>
      <c r="B40" s="237"/>
      <c r="C40" s="122" t="s">
        <v>84</v>
      </c>
      <c r="D40" s="123">
        <f t="shared" si="12"/>
        <v>0</v>
      </c>
      <c r="E40" s="124" t="str">
        <f t="shared" si="1"/>
        <v/>
      </c>
      <c r="F40" s="125">
        <f t="shared" si="2"/>
        <v>0</v>
      </c>
      <c r="G40" s="238">
        <f t="shared" si="3"/>
        <v>0</v>
      </c>
      <c r="H40" s="256">
        <f t="shared" si="4"/>
        <v>0</v>
      </c>
      <c r="I40" s="125">
        <f t="shared" si="5"/>
        <v>0</v>
      </c>
      <c r="J40" s="125">
        <f t="shared" si="6"/>
        <v>0</v>
      </c>
      <c r="K40" s="126">
        <f t="shared" si="13"/>
        <v>0</v>
      </c>
      <c r="L40" s="99"/>
      <c r="M40" s="127"/>
      <c r="N40" s="237"/>
      <c r="O40" s="128" t="s">
        <v>84</v>
      </c>
      <c r="P40" s="123">
        <f t="shared" si="7"/>
        <v>0</v>
      </c>
      <c r="Q40" s="124" t="str">
        <f t="shared" si="8"/>
        <v/>
      </c>
      <c r="R40" s="125">
        <f t="shared" si="9"/>
        <v>0</v>
      </c>
      <c r="S40" s="239">
        <f t="shared" si="10"/>
        <v>0</v>
      </c>
      <c r="T40" s="262">
        <f t="shared" si="14"/>
        <v>0</v>
      </c>
      <c r="U40" s="125">
        <f t="shared" si="11"/>
        <v>0</v>
      </c>
      <c r="V40" s="125">
        <f t="shared" si="15"/>
        <v>0</v>
      </c>
      <c r="W40" s="126">
        <f t="shared" si="16"/>
        <v>0</v>
      </c>
    </row>
    <row r="41" spans="1:37" ht="15" thickBot="1">
      <c r="A41" s="121"/>
      <c r="B41" s="237"/>
      <c r="C41" s="132" t="s">
        <v>85</v>
      </c>
      <c r="D41" s="133">
        <f t="shared" si="12"/>
        <v>0</v>
      </c>
      <c r="E41" s="124" t="str">
        <f t="shared" si="1"/>
        <v/>
      </c>
      <c r="F41" s="125">
        <f t="shared" si="2"/>
        <v>0</v>
      </c>
      <c r="G41" s="238">
        <f t="shared" si="3"/>
        <v>0</v>
      </c>
      <c r="H41" s="256">
        <f t="shared" si="4"/>
        <v>0</v>
      </c>
      <c r="I41" s="125">
        <f t="shared" si="5"/>
        <v>0</v>
      </c>
      <c r="J41" s="125">
        <f t="shared" si="6"/>
        <v>0</v>
      </c>
      <c r="K41" s="126">
        <f t="shared" si="13"/>
        <v>0</v>
      </c>
      <c r="L41" s="99"/>
      <c r="M41" s="127"/>
      <c r="N41" s="237"/>
      <c r="O41" s="136" t="s">
        <v>85</v>
      </c>
      <c r="P41" s="133">
        <f t="shared" si="7"/>
        <v>0</v>
      </c>
      <c r="Q41" s="124" t="str">
        <f t="shared" si="8"/>
        <v/>
      </c>
      <c r="R41" s="134">
        <f t="shared" si="9"/>
        <v>0</v>
      </c>
      <c r="S41" s="239">
        <f t="shared" si="10"/>
        <v>0</v>
      </c>
      <c r="T41" s="262">
        <f t="shared" si="14"/>
        <v>0</v>
      </c>
      <c r="U41" s="125">
        <f t="shared" si="11"/>
        <v>0</v>
      </c>
      <c r="V41" s="125">
        <f t="shared" si="15"/>
        <v>0</v>
      </c>
      <c r="W41" s="135">
        <f t="shared" si="16"/>
        <v>0</v>
      </c>
    </row>
    <row r="42" spans="1:37" ht="15" thickBot="1">
      <c r="C42" s="137"/>
      <c r="D42" s="138" t="s">
        <v>77</v>
      </c>
      <c r="E42" s="138"/>
      <c r="F42" s="139">
        <f>SUM(F26:F41,0)</f>
        <v>0</v>
      </c>
      <c r="G42" s="139"/>
      <c r="H42" s="139"/>
      <c r="I42" s="139">
        <f>SUM(I26:I41,0)</f>
        <v>0</v>
      </c>
      <c r="J42" s="139">
        <f>SUM(J26:J41,0)</f>
        <v>0</v>
      </c>
      <c r="K42" s="140">
        <f>SUM(K26:K41,0)</f>
        <v>0</v>
      </c>
      <c r="L42" s="227"/>
      <c r="M42" s="75"/>
      <c r="N42" s="75"/>
      <c r="O42" s="141"/>
      <c r="P42" s="142" t="s">
        <v>77</v>
      </c>
      <c r="Q42" s="138"/>
      <c r="R42" s="139">
        <f>SUM(R26:R41,0)</f>
        <v>0</v>
      </c>
      <c r="S42" s="139"/>
      <c r="T42" s="139"/>
      <c r="U42" s="139">
        <f>SUM(U26:U41,0)</f>
        <v>0</v>
      </c>
      <c r="V42" s="197">
        <f>SUM(V26:V41,0)</f>
        <v>0</v>
      </c>
      <c r="W42" s="140">
        <f>SUM(W26:W41,0)</f>
        <v>0</v>
      </c>
    </row>
    <row r="43" spans="1:37"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</row>
    <row r="44" spans="1:37" ht="14.75" customHeight="1">
      <c r="A44" s="309" t="s">
        <v>89</v>
      </c>
      <c r="B44" s="306" t="s">
        <v>170</v>
      </c>
      <c r="C44" s="297" t="s">
        <v>43</v>
      </c>
      <c r="D44" s="298"/>
      <c r="E44" s="298"/>
      <c r="F44" s="298"/>
      <c r="G44" s="298"/>
      <c r="H44" s="298"/>
      <c r="I44" s="298"/>
      <c r="J44" s="298"/>
      <c r="K44" s="298"/>
      <c r="L44" s="75"/>
      <c r="M44" s="311" t="s">
        <v>89</v>
      </c>
      <c r="N44" s="299" t="s">
        <v>170</v>
      </c>
      <c r="O44" s="297" t="s">
        <v>42</v>
      </c>
      <c r="P44" s="298"/>
      <c r="Q44" s="298"/>
      <c r="R44" s="298"/>
      <c r="S44" s="298"/>
      <c r="T44" s="298"/>
      <c r="U44" s="298"/>
      <c r="V44" s="298"/>
      <c r="W44" s="298"/>
    </row>
    <row r="45" spans="1:37" ht="43.9" customHeight="1">
      <c r="A45" s="310"/>
      <c r="B45" s="306"/>
      <c r="C45" s="75"/>
      <c r="D45" s="93" t="s">
        <v>28</v>
      </c>
      <c r="E45" s="94" t="s">
        <v>29</v>
      </c>
      <c r="F45" s="95" t="s">
        <v>30</v>
      </c>
      <c r="G45" s="95" t="s">
        <v>169</v>
      </c>
      <c r="H45" s="95" t="s">
        <v>76</v>
      </c>
      <c r="I45" s="95" t="s">
        <v>31</v>
      </c>
      <c r="J45" s="95" t="s">
        <v>26</v>
      </c>
      <c r="K45" s="120" t="s">
        <v>27</v>
      </c>
      <c r="L45" s="75"/>
      <c r="M45" s="312"/>
      <c r="N45" s="300"/>
      <c r="O45" s="75"/>
      <c r="P45" s="93" t="s">
        <v>28</v>
      </c>
      <c r="Q45" s="94" t="s">
        <v>29</v>
      </c>
      <c r="R45" s="95" t="s">
        <v>30</v>
      </c>
      <c r="S45" s="95" t="s">
        <v>169</v>
      </c>
      <c r="T45" s="95" t="s">
        <v>76</v>
      </c>
      <c r="U45" s="95" t="s">
        <v>31</v>
      </c>
      <c r="V45" s="95" t="s">
        <v>26</v>
      </c>
      <c r="W45" s="120" t="s">
        <v>27</v>
      </c>
    </row>
    <row r="46" spans="1:37" ht="15.75" customHeight="1">
      <c r="A46" s="121"/>
      <c r="B46" s="237"/>
      <c r="C46" s="122" t="s">
        <v>33</v>
      </c>
      <c r="D46" s="181">
        <f>B6</f>
        <v>0</v>
      </c>
      <c r="E46" s="124" t="str">
        <f t="shared" ref="E46:E61" si="17">IF($K6&gt;0,"Faculty",IF($L6&gt;0,"Admin/Exec",IF($M6&gt;0,"Staff",IF($N6&gt;0,"OPS",IF($O6&gt;0,"Post Doc",IF($P6&gt;0,"Grad Asst",IF($Q6&gt;0,"MISC","")))))))</f>
        <v/>
      </c>
      <c r="F46" s="125">
        <f t="shared" ref="F46:F61" si="18">IF(($R26+($R26*$F6))&gt;$J$3,$J$3,($R26+($R26*$F6)))</f>
        <v>0</v>
      </c>
      <c r="G46" s="238">
        <f t="shared" ref="G46:G61" si="19">IF((AS1=TRUE),IF($B46&lt;&gt;"",B46/$D6,$J6))</f>
        <v>0</v>
      </c>
      <c r="H46" s="262">
        <f>IF(AS1=TRUE,$T26*(1+$H6),0)</f>
        <v>0</v>
      </c>
      <c r="I46" s="125">
        <f t="shared" ref="I46:I61" si="20">IF((AS1=TRUE),IF(($B46&lt;=0),($F46*$J6),($F46*$G46)))</f>
        <v>0</v>
      </c>
      <c r="J46" s="125">
        <f>IF((AS1=TRUE),(H46*I46),0)</f>
        <v>0</v>
      </c>
      <c r="K46" s="126">
        <f>SUM(I46:J46,0)</f>
        <v>0</v>
      </c>
      <c r="L46" s="99"/>
      <c r="M46" s="127"/>
      <c r="N46" s="237"/>
      <c r="O46" s="128" t="s">
        <v>33</v>
      </c>
      <c r="P46" s="123">
        <f t="shared" ref="P46:P61" si="21">B6</f>
        <v>0</v>
      </c>
      <c r="Q46" s="124" t="str">
        <f t="shared" ref="Q46:Q61" si="22">IF($K6&gt;0,"Faculty",IF($L6&gt;0,"Admin/Exec",IF($M6&gt;0,"Staff",IF($N6&gt;0,"OPS",IF($O6&gt;0,"Post Doc",IF($P6&gt;0,"Grad Asst",IF($Q6&gt;0,"MISC","")))))))</f>
        <v/>
      </c>
      <c r="R46" s="125">
        <f t="shared" ref="R46:R61" si="23">IF(($F46+($F46*$F6))&gt;$J$3,$J$3,($F46+($F46*$F6)))</f>
        <v>0</v>
      </c>
      <c r="S46" s="238">
        <f t="shared" ref="S46:S61" si="24">IF((AT1=TRUE),IF(N46&lt;&gt;"",N46/$D6,$J6))</f>
        <v>0</v>
      </c>
      <c r="T46" s="262">
        <f>IF(AT1=TRUE,$H46*(1+$H6),0)</f>
        <v>0</v>
      </c>
      <c r="U46" s="125">
        <f t="shared" ref="U46:U61" si="25">IF((AT1=TRUE),IF(($N46&lt;=0),($R46*$J6),($R46*$S46)))</f>
        <v>0</v>
      </c>
      <c r="V46" s="125">
        <f>IF((AT1=TRUE),(T46*U46),0)</f>
        <v>0</v>
      </c>
      <c r="W46" s="126">
        <f>SUM(U46:V46,0)</f>
        <v>0</v>
      </c>
      <c r="AK46" s="131"/>
    </row>
    <row r="47" spans="1:37" ht="15.75" customHeight="1">
      <c r="A47" s="121"/>
      <c r="B47" s="237"/>
      <c r="C47" s="129" t="s">
        <v>34</v>
      </c>
      <c r="D47" s="181">
        <f t="shared" ref="D47:D61" si="26">B7</f>
        <v>0</v>
      </c>
      <c r="E47" s="124" t="str">
        <f t="shared" si="17"/>
        <v/>
      </c>
      <c r="F47" s="125">
        <f t="shared" si="18"/>
        <v>0</v>
      </c>
      <c r="G47" s="238">
        <f t="shared" si="19"/>
        <v>0</v>
      </c>
      <c r="H47" s="262">
        <f t="shared" ref="H47:H61" si="27">IF(AS2=TRUE,$T27*(1+$H7),0)</f>
        <v>0</v>
      </c>
      <c r="I47" s="125">
        <f t="shared" si="20"/>
        <v>0</v>
      </c>
      <c r="J47" s="125">
        <f t="shared" ref="J47:J61" si="28">IF((AS2=TRUE),(H47*I47),0)</f>
        <v>0</v>
      </c>
      <c r="K47" s="126">
        <f t="shared" ref="K47:K61" si="29">SUM(I47:J47,0)</f>
        <v>0</v>
      </c>
      <c r="L47" s="99"/>
      <c r="M47" s="127"/>
      <c r="N47" s="237"/>
      <c r="O47" s="130" t="s">
        <v>34</v>
      </c>
      <c r="P47" s="123">
        <f t="shared" si="21"/>
        <v>0</v>
      </c>
      <c r="Q47" s="124" t="str">
        <f t="shared" si="22"/>
        <v/>
      </c>
      <c r="R47" s="125">
        <f t="shared" si="23"/>
        <v>0</v>
      </c>
      <c r="S47" s="238">
        <f t="shared" si="24"/>
        <v>0</v>
      </c>
      <c r="T47" s="262">
        <f t="shared" ref="T47:T61" si="30">IF(AT2=TRUE,$H47*(1+$H7),0)</f>
        <v>0</v>
      </c>
      <c r="U47" s="125">
        <f t="shared" si="25"/>
        <v>0</v>
      </c>
      <c r="V47" s="125">
        <f t="shared" ref="V47:V61" si="31">IF((AT2=TRUE),(T47*U47),0)</f>
        <v>0</v>
      </c>
      <c r="W47" s="126">
        <f t="shared" ref="W47:W61" si="32">SUM(U47:V47,0)</f>
        <v>0</v>
      </c>
      <c r="AK47" s="131"/>
    </row>
    <row r="48" spans="1:37" ht="15.75" customHeight="1">
      <c r="A48" s="121"/>
      <c r="B48" s="237"/>
      <c r="C48" s="122" t="s">
        <v>35</v>
      </c>
      <c r="D48" s="181">
        <f t="shared" si="26"/>
        <v>0</v>
      </c>
      <c r="E48" s="124" t="str">
        <f t="shared" si="17"/>
        <v/>
      </c>
      <c r="F48" s="125">
        <f t="shared" si="18"/>
        <v>0</v>
      </c>
      <c r="G48" s="238">
        <f t="shared" si="19"/>
        <v>0</v>
      </c>
      <c r="H48" s="262">
        <f t="shared" si="27"/>
        <v>0</v>
      </c>
      <c r="I48" s="125">
        <f t="shared" si="20"/>
        <v>0</v>
      </c>
      <c r="J48" s="125">
        <f t="shared" si="28"/>
        <v>0</v>
      </c>
      <c r="K48" s="126">
        <f t="shared" si="29"/>
        <v>0</v>
      </c>
      <c r="L48" s="99"/>
      <c r="M48" s="127"/>
      <c r="N48" s="237"/>
      <c r="O48" s="128" t="s">
        <v>35</v>
      </c>
      <c r="P48" s="123">
        <f t="shared" si="21"/>
        <v>0</v>
      </c>
      <c r="Q48" s="124" t="str">
        <f t="shared" si="22"/>
        <v/>
      </c>
      <c r="R48" s="125">
        <f t="shared" si="23"/>
        <v>0</v>
      </c>
      <c r="S48" s="238">
        <f t="shared" si="24"/>
        <v>0</v>
      </c>
      <c r="T48" s="262">
        <f t="shared" si="30"/>
        <v>0</v>
      </c>
      <c r="U48" s="125">
        <f t="shared" si="25"/>
        <v>0</v>
      </c>
      <c r="V48" s="125">
        <f t="shared" si="31"/>
        <v>0</v>
      </c>
      <c r="W48" s="126">
        <f t="shared" si="32"/>
        <v>0</v>
      </c>
      <c r="AK48" s="131"/>
    </row>
    <row r="49" spans="1:37" ht="15.75" customHeight="1">
      <c r="A49" s="121"/>
      <c r="B49" s="237"/>
      <c r="C49" s="129" t="s">
        <v>36</v>
      </c>
      <c r="D49" s="181">
        <f t="shared" si="26"/>
        <v>0</v>
      </c>
      <c r="E49" s="124" t="str">
        <f t="shared" si="17"/>
        <v/>
      </c>
      <c r="F49" s="125">
        <f t="shared" si="18"/>
        <v>0</v>
      </c>
      <c r="G49" s="238">
        <f t="shared" si="19"/>
        <v>0</v>
      </c>
      <c r="H49" s="262">
        <f t="shared" si="27"/>
        <v>0</v>
      </c>
      <c r="I49" s="125">
        <f t="shared" si="20"/>
        <v>0</v>
      </c>
      <c r="J49" s="125">
        <f t="shared" si="28"/>
        <v>0</v>
      </c>
      <c r="K49" s="126">
        <f t="shared" si="29"/>
        <v>0</v>
      </c>
      <c r="L49" s="99"/>
      <c r="M49" s="127"/>
      <c r="N49" s="237"/>
      <c r="O49" s="130" t="s">
        <v>36</v>
      </c>
      <c r="P49" s="123">
        <f t="shared" si="21"/>
        <v>0</v>
      </c>
      <c r="Q49" s="124" t="str">
        <f t="shared" si="22"/>
        <v/>
      </c>
      <c r="R49" s="125">
        <f t="shared" si="23"/>
        <v>0</v>
      </c>
      <c r="S49" s="238">
        <f t="shared" si="24"/>
        <v>0</v>
      </c>
      <c r="T49" s="262">
        <f t="shared" si="30"/>
        <v>0</v>
      </c>
      <c r="U49" s="125">
        <f t="shared" si="25"/>
        <v>0</v>
      </c>
      <c r="V49" s="125">
        <f t="shared" si="31"/>
        <v>0</v>
      </c>
      <c r="W49" s="126">
        <f t="shared" si="32"/>
        <v>0</v>
      </c>
      <c r="AK49" s="131"/>
    </row>
    <row r="50" spans="1:37" ht="15.75" customHeight="1">
      <c r="A50" s="121"/>
      <c r="B50" s="237"/>
      <c r="C50" s="122" t="s">
        <v>37</v>
      </c>
      <c r="D50" s="181">
        <f t="shared" si="26"/>
        <v>0</v>
      </c>
      <c r="E50" s="124" t="str">
        <f t="shared" si="17"/>
        <v/>
      </c>
      <c r="F50" s="125">
        <f t="shared" si="18"/>
        <v>0</v>
      </c>
      <c r="G50" s="238">
        <f t="shared" si="19"/>
        <v>0</v>
      </c>
      <c r="H50" s="262">
        <f t="shared" si="27"/>
        <v>0</v>
      </c>
      <c r="I50" s="125">
        <f t="shared" si="20"/>
        <v>0</v>
      </c>
      <c r="J50" s="125">
        <f t="shared" si="28"/>
        <v>0</v>
      </c>
      <c r="K50" s="126">
        <f t="shared" si="29"/>
        <v>0</v>
      </c>
      <c r="L50" s="99"/>
      <c r="M50" s="127"/>
      <c r="N50" s="237"/>
      <c r="O50" s="128" t="s">
        <v>37</v>
      </c>
      <c r="P50" s="123">
        <f t="shared" si="21"/>
        <v>0</v>
      </c>
      <c r="Q50" s="124" t="str">
        <f t="shared" si="22"/>
        <v/>
      </c>
      <c r="R50" s="125">
        <f t="shared" si="23"/>
        <v>0</v>
      </c>
      <c r="S50" s="238">
        <f t="shared" si="24"/>
        <v>0</v>
      </c>
      <c r="T50" s="262">
        <f t="shared" si="30"/>
        <v>0</v>
      </c>
      <c r="U50" s="125">
        <f t="shared" si="25"/>
        <v>0</v>
      </c>
      <c r="V50" s="125">
        <f t="shared" si="31"/>
        <v>0</v>
      </c>
      <c r="W50" s="126">
        <f t="shared" si="32"/>
        <v>0</v>
      </c>
      <c r="AK50" s="131"/>
    </row>
    <row r="51" spans="1:37" ht="15.75" customHeight="1">
      <c r="A51" s="121"/>
      <c r="B51" s="237"/>
      <c r="C51" s="129" t="s">
        <v>38</v>
      </c>
      <c r="D51" s="181">
        <f t="shared" si="26"/>
        <v>0</v>
      </c>
      <c r="E51" s="124" t="str">
        <f t="shared" si="17"/>
        <v/>
      </c>
      <c r="F51" s="125">
        <f t="shared" si="18"/>
        <v>0</v>
      </c>
      <c r="G51" s="238">
        <f t="shared" si="19"/>
        <v>0</v>
      </c>
      <c r="H51" s="262">
        <f t="shared" si="27"/>
        <v>0</v>
      </c>
      <c r="I51" s="125">
        <f t="shared" si="20"/>
        <v>0</v>
      </c>
      <c r="J51" s="125">
        <f t="shared" si="28"/>
        <v>0</v>
      </c>
      <c r="K51" s="126">
        <f t="shared" si="29"/>
        <v>0</v>
      </c>
      <c r="L51" s="99"/>
      <c r="M51" s="127"/>
      <c r="N51" s="237"/>
      <c r="O51" s="130" t="s">
        <v>38</v>
      </c>
      <c r="P51" s="123">
        <f t="shared" si="21"/>
        <v>0</v>
      </c>
      <c r="Q51" s="124" t="str">
        <f t="shared" si="22"/>
        <v/>
      </c>
      <c r="R51" s="125">
        <f t="shared" si="23"/>
        <v>0</v>
      </c>
      <c r="S51" s="238">
        <f t="shared" si="24"/>
        <v>0</v>
      </c>
      <c r="T51" s="262">
        <f t="shared" si="30"/>
        <v>0</v>
      </c>
      <c r="U51" s="125">
        <f t="shared" si="25"/>
        <v>0</v>
      </c>
      <c r="V51" s="125">
        <f t="shared" si="31"/>
        <v>0</v>
      </c>
      <c r="W51" s="126">
        <f t="shared" si="32"/>
        <v>0</v>
      </c>
      <c r="X51" s="3"/>
      <c r="AK51" s="131"/>
    </row>
    <row r="52" spans="1:37" ht="15.75" customHeight="1">
      <c r="A52" s="121"/>
      <c r="B52" s="237"/>
      <c r="C52" s="122" t="s">
        <v>39</v>
      </c>
      <c r="D52" s="181">
        <f t="shared" si="26"/>
        <v>0</v>
      </c>
      <c r="E52" s="124" t="str">
        <f t="shared" si="17"/>
        <v/>
      </c>
      <c r="F52" s="125">
        <f t="shared" si="18"/>
        <v>0</v>
      </c>
      <c r="G52" s="238">
        <f t="shared" si="19"/>
        <v>0</v>
      </c>
      <c r="H52" s="262">
        <f t="shared" si="27"/>
        <v>0</v>
      </c>
      <c r="I52" s="125">
        <f t="shared" si="20"/>
        <v>0</v>
      </c>
      <c r="J52" s="125">
        <f t="shared" si="28"/>
        <v>0</v>
      </c>
      <c r="K52" s="126">
        <f t="shared" si="29"/>
        <v>0</v>
      </c>
      <c r="L52" s="99"/>
      <c r="M52" s="127"/>
      <c r="N52" s="237"/>
      <c r="O52" s="128" t="s">
        <v>39</v>
      </c>
      <c r="P52" s="123">
        <f t="shared" si="21"/>
        <v>0</v>
      </c>
      <c r="Q52" s="124" t="str">
        <f t="shared" si="22"/>
        <v/>
      </c>
      <c r="R52" s="125">
        <f t="shared" si="23"/>
        <v>0</v>
      </c>
      <c r="S52" s="238">
        <f t="shared" si="24"/>
        <v>0</v>
      </c>
      <c r="T52" s="262">
        <f t="shared" si="30"/>
        <v>0</v>
      </c>
      <c r="U52" s="125">
        <f t="shared" si="25"/>
        <v>0</v>
      </c>
      <c r="V52" s="125">
        <f t="shared" si="31"/>
        <v>0</v>
      </c>
      <c r="W52" s="126">
        <f t="shared" si="32"/>
        <v>0</v>
      </c>
      <c r="X52" s="3"/>
      <c r="AK52" s="131"/>
    </row>
    <row r="53" spans="1:37" ht="15.75" customHeight="1">
      <c r="A53" s="121"/>
      <c r="B53" s="237"/>
      <c r="C53" s="129" t="s">
        <v>40</v>
      </c>
      <c r="D53" s="181">
        <f t="shared" si="26"/>
        <v>0</v>
      </c>
      <c r="E53" s="124" t="str">
        <f t="shared" si="17"/>
        <v/>
      </c>
      <c r="F53" s="125">
        <f t="shared" si="18"/>
        <v>0</v>
      </c>
      <c r="G53" s="238">
        <f t="shared" si="19"/>
        <v>0</v>
      </c>
      <c r="H53" s="262">
        <f t="shared" si="27"/>
        <v>0</v>
      </c>
      <c r="I53" s="125">
        <f t="shared" si="20"/>
        <v>0</v>
      </c>
      <c r="J53" s="125">
        <f t="shared" si="28"/>
        <v>0</v>
      </c>
      <c r="K53" s="126">
        <f t="shared" si="29"/>
        <v>0</v>
      </c>
      <c r="L53" s="99"/>
      <c r="M53" s="127"/>
      <c r="N53" s="237"/>
      <c r="O53" s="130" t="s">
        <v>40</v>
      </c>
      <c r="P53" s="123">
        <f t="shared" si="21"/>
        <v>0</v>
      </c>
      <c r="Q53" s="124" t="str">
        <f t="shared" si="22"/>
        <v/>
      </c>
      <c r="R53" s="125">
        <f t="shared" si="23"/>
        <v>0</v>
      </c>
      <c r="S53" s="238">
        <f t="shared" si="24"/>
        <v>0</v>
      </c>
      <c r="T53" s="262">
        <f t="shared" si="30"/>
        <v>0</v>
      </c>
      <c r="U53" s="125">
        <f t="shared" si="25"/>
        <v>0</v>
      </c>
      <c r="V53" s="125">
        <f t="shared" si="31"/>
        <v>0</v>
      </c>
      <c r="W53" s="126">
        <f t="shared" si="32"/>
        <v>0</v>
      </c>
      <c r="X53" s="3"/>
      <c r="AK53" s="131"/>
    </row>
    <row r="54" spans="1:37" ht="15.75" customHeight="1">
      <c r="A54" s="121"/>
      <c r="B54" s="237"/>
      <c r="C54" s="122" t="s">
        <v>78</v>
      </c>
      <c r="D54" s="181">
        <f t="shared" si="26"/>
        <v>0</v>
      </c>
      <c r="E54" s="124" t="str">
        <f t="shared" si="17"/>
        <v/>
      </c>
      <c r="F54" s="125">
        <f t="shared" si="18"/>
        <v>0</v>
      </c>
      <c r="G54" s="238">
        <f t="shared" si="19"/>
        <v>0</v>
      </c>
      <c r="H54" s="262">
        <f t="shared" si="27"/>
        <v>0</v>
      </c>
      <c r="I54" s="125">
        <f t="shared" si="20"/>
        <v>0</v>
      </c>
      <c r="J54" s="125">
        <f t="shared" si="28"/>
        <v>0</v>
      </c>
      <c r="K54" s="126">
        <f t="shared" si="29"/>
        <v>0</v>
      </c>
      <c r="L54" s="99"/>
      <c r="M54" s="127"/>
      <c r="N54" s="237"/>
      <c r="O54" s="128" t="s">
        <v>78</v>
      </c>
      <c r="P54" s="123">
        <f t="shared" si="21"/>
        <v>0</v>
      </c>
      <c r="Q54" s="124" t="str">
        <f t="shared" si="22"/>
        <v/>
      </c>
      <c r="R54" s="125">
        <f t="shared" si="23"/>
        <v>0</v>
      </c>
      <c r="S54" s="238">
        <f t="shared" si="24"/>
        <v>0</v>
      </c>
      <c r="T54" s="262">
        <f t="shared" si="30"/>
        <v>0</v>
      </c>
      <c r="U54" s="125">
        <f t="shared" si="25"/>
        <v>0</v>
      </c>
      <c r="V54" s="125">
        <f t="shared" si="31"/>
        <v>0</v>
      </c>
      <c r="W54" s="126">
        <f t="shared" si="32"/>
        <v>0</v>
      </c>
      <c r="X54" s="246"/>
    </row>
    <row r="55" spans="1:37" ht="15.75" customHeight="1">
      <c r="A55" s="121"/>
      <c r="B55" s="237"/>
      <c r="C55" s="129" t="s">
        <v>79</v>
      </c>
      <c r="D55" s="181">
        <f t="shared" si="26"/>
        <v>0</v>
      </c>
      <c r="E55" s="124" t="str">
        <f t="shared" si="17"/>
        <v/>
      </c>
      <c r="F55" s="125">
        <f t="shared" si="18"/>
        <v>0</v>
      </c>
      <c r="G55" s="238">
        <f t="shared" si="19"/>
        <v>0</v>
      </c>
      <c r="H55" s="262">
        <f t="shared" si="27"/>
        <v>0</v>
      </c>
      <c r="I55" s="125">
        <f t="shared" si="20"/>
        <v>0</v>
      </c>
      <c r="J55" s="125">
        <f t="shared" si="28"/>
        <v>0</v>
      </c>
      <c r="K55" s="126">
        <f t="shared" si="29"/>
        <v>0</v>
      </c>
      <c r="L55" s="99"/>
      <c r="M55" s="127"/>
      <c r="N55" s="237"/>
      <c r="O55" s="130" t="s">
        <v>79</v>
      </c>
      <c r="P55" s="123">
        <f t="shared" si="21"/>
        <v>0</v>
      </c>
      <c r="Q55" s="124" t="str">
        <f t="shared" si="22"/>
        <v/>
      </c>
      <c r="R55" s="125">
        <f t="shared" si="23"/>
        <v>0</v>
      </c>
      <c r="S55" s="238">
        <f t="shared" si="24"/>
        <v>0</v>
      </c>
      <c r="T55" s="262">
        <f t="shared" si="30"/>
        <v>0</v>
      </c>
      <c r="U55" s="125">
        <f t="shared" si="25"/>
        <v>0</v>
      </c>
      <c r="V55" s="125">
        <f t="shared" si="31"/>
        <v>0</v>
      </c>
      <c r="W55" s="126">
        <f t="shared" si="32"/>
        <v>0</v>
      </c>
      <c r="X55" s="75"/>
    </row>
    <row r="56" spans="1:37" ht="15.75" customHeight="1">
      <c r="A56" s="121"/>
      <c r="B56" s="237"/>
      <c r="C56" s="122" t="s">
        <v>80</v>
      </c>
      <c r="D56" s="181">
        <f t="shared" si="26"/>
        <v>0</v>
      </c>
      <c r="E56" s="124" t="str">
        <f t="shared" si="17"/>
        <v/>
      </c>
      <c r="F56" s="125">
        <f t="shared" si="18"/>
        <v>0</v>
      </c>
      <c r="G56" s="238">
        <f t="shared" si="19"/>
        <v>0</v>
      </c>
      <c r="H56" s="262">
        <f t="shared" si="27"/>
        <v>0</v>
      </c>
      <c r="I56" s="125">
        <f t="shared" si="20"/>
        <v>0</v>
      </c>
      <c r="J56" s="125">
        <f t="shared" si="28"/>
        <v>0</v>
      </c>
      <c r="K56" s="126">
        <f t="shared" si="29"/>
        <v>0</v>
      </c>
      <c r="L56" s="99"/>
      <c r="M56" s="127"/>
      <c r="N56" s="237"/>
      <c r="O56" s="128" t="s">
        <v>80</v>
      </c>
      <c r="P56" s="123">
        <f t="shared" si="21"/>
        <v>0</v>
      </c>
      <c r="Q56" s="124" t="str">
        <f t="shared" si="22"/>
        <v/>
      </c>
      <c r="R56" s="125">
        <f t="shared" si="23"/>
        <v>0</v>
      </c>
      <c r="S56" s="238">
        <f t="shared" si="24"/>
        <v>0</v>
      </c>
      <c r="T56" s="262">
        <f t="shared" si="30"/>
        <v>0</v>
      </c>
      <c r="U56" s="125">
        <f t="shared" si="25"/>
        <v>0</v>
      </c>
      <c r="V56" s="125">
        <f t="shared" si="31"/>
        <v>0</v>
      </c>
      <c r="W56" s="126">
        <f t="shared" si="32"/>
        <v>0</v>
      </c>
    </row>
    <row r="57" spans="1:37" ht="15.75" customHeight="1">
      <c r="A57" s="121"/>
      <c r="B57" s="237"/>
      <c r="C57" s="129" t="s">
        <v>81</v>
      </c>
      <c r="D57" s="181">
        <f t="shared" si="26"/>
        <v>0</v>
      </c>
      <c r="E57" s="124" t="str">
        <f t="shared" si="17"/>
        <v/>
      </c>
      <c r="F57" s="125">
        <f t="shared" si="18"/>
        <v>0</v>
      </c>
      <c r="G57" s="238">
        <f t="shared" si="19"/>
        <v>0</v>
      </c>
      <c r="H57" s="262">
        <f t="shared" si="27"/>
        <v>0</v>
      </c>
      <c r="I57" s="125">
        <f t="shared" si="20"/>
        <v>0</v>
      </c>
      <c r="J57" s="125">
        <f t="shared" si="28"/>
        <v>0</v>
      </c>
      <c r="K57" s="126">
        <f t="shared" si="29"/>
        <v>0</v>
      </c>
      <c r="L57" s="99"/>
      <c r="M57" s="127"/>
      <c r="N57" s="237"/>
      <c r="O57" s="130" t="s">
        <v>81</v>
      </c>
      <c r="P57" s="123">
        <f t="shared" si="21"/>
        <v>0</v>
      </c>
      <c r="Q57" s="124" t="str">
        <f t="shared" si="22"/>
        <v/>
      </c>
      <c r="R57" s="125">
        <f t="shared" si="23"/>
        <v>0</v>
      </c>
      <c r="S57" s="238">
        <f t="shared" si="24"/>
        <v>0</v>
      </c>
      <c r="T57" s="262">
        <f t="shared" si="30"/>
        <v>0</v>
      </c>
      <c r="U57" s="125">
        <f t="shared" si="25"/>
        <v>0</v>
      </c>
      <c r="V57" s="125">
        <f t="shared" si="31"/>
        <v>0</v>
      </c>
      <c r="W57" s="126">
        <f t="shared" si="32"/>
        <v>0</v>
      </c>
      <c r="X57" s="95"/>
    </row>
    <row r="58" spans="1:37" ht="15.75" customHeight="1">
      <c r="A58" s="121"/>
      <c r="B58" s="237"/>
      <c r="C58" s="122" t="s">
        <v>82</v>
      </c>
      <c r="D58" s="181">
        <f t="shared" si="26"/>
        <v>0</v>
      </c>
      <c r="E58" s="124" t="str">
        <f t="shared" si="17"/>
        <v/>
      </c>
      <c r="F58" s="125">
        <f t="shared" si="18"/>
        <v>0</v>
      </c>
      <c r="G58" s="238">
        <f t="shared" si="19"/>
        <v>0</v>
      </c>
      <c r="H58" s="262">
        <f t="shared" si="27"/>
        <v>0</v>
      </c>
      <c r="I58" s="125">
        <f t="shared" si="20"/>
        <v>0</v>
      </c>
      <c r="J58" s="125">
        <f t="shared" si="28"/>
        <v>0</v>
      </c>
      <c r="K58" s="126">
        <f t="shared" si="29"/>
        <v>0</v>
      </c>
      <c r="L58" s="99"/>
      <c r="M58" s="127"/>
      <c r="N58" s="237"/>
      <c r="O58" s="128" t="s">
        <v>82</v>
      </c>
      <c r="P58" s="123">
        <f t="shared" si="21"/>
        <v>0</v>
      </c>
      <c r="Q58" s="124" t="str">
        <f t="shared" si="22"/>
        <v/>
      </c>
      <c r="R58" s="125">
        <f t="shared" si="23"/>
        <v>0</v>
      </c>
      <c r="S58" s="238">
        <f t="shared" si="24"/>
        <v>0</v>
      </c>
      <c r="T58" s="262">
        <f t="shared" si="30"/>
        <v>0</v>
      </c>
      <c r="U58" s="125">
        <f t="shared" si="25"/>
        <v>0</v>
      </c>
      <c r="V58" s="125">
        <f t="shared" si="31"/>
        <v>0</v>
      </c>
      <c r="W58" s="126">
        <f t="shared" si="32"/>
        <v>0</v>
      </c>
      <c r="X58" s="143"/>
    </row>
    <row r="59" spans="1:37" ht="15.75" customHeight="1">
      <c r="A59" s="121"/>
      <c r="B59" s="237"/>
      <c r="C59" s="129" t="s">
        <v>83</v>
      </c>
      <c r="D59" s="181">
        <f t="shared" si="26"/>
        <v>0</v>
      </c>
      <c r="E59" s="124" t="str">
        <f t="shared" si="17"/>
        <v/>
      </c>
      <c r="F59" s="125">
        <f t="shared" si="18"/>
        <v>0</v>
      </c>
      <c r="G59" s="238">
        <f t="shared" si="19"/>
        <v>0</v>
      </c>
      <c r="H59" s="262">
        <f t="shared" si="27"/>
        <v>0</v>
      </c>
      <c r="I59" s="125">
        <f t="shared" si="20"/>
        <v>0</v>
      </c>
      <c r="J59" s="125">
        <f t="shared" si="28"/>
        <v>0</v>
      </c>
      <c r="K59" s="126">
        <f t="shared" si="29"/>
        <v>0</v>
      </c>
      <c r="L59" s="99"/>
      <c r="M59" s="127"/>
      <c r="N59" s="237"/>
      <c r="O59" s="130" t="s">
        <v>83</v>
      </c>
      <c r="P59" s="123">
        <f t="shared" si="21"/>
        <v>0</v>
      </c>
      <c r="Q59" s="124" t="str">
        <f t="shared" si="22"/>
        <v/>
      </c>
      <c r="R59" s="125">
        <f t="shared" si="23"/>
        <v>0</v>
      </c>
      <c r="S59" s="238">
        <f t="shared" si="24"/>
        <v>0</v>
      </c>
      <c r="T59" s="262">
        <f t="shared" si="30"/>
        <v>0</v>
      </c>
      <c r="U59" s="125">
        <f t="shared" si="25"/>
        <v>0</v>
      </c>
      <c r="V59" s="125">
        <f t="shared" si="31"/>
        <v>0</v>
      </c>
      <c r="W59" s="126">
        <f t="shared" si="32"/>
        <v>0</v>
      </c>
      <c r="X59" s="75"/>
    </row>
    <row r="60" spans="1:37" ht="15.75" customHeight="1">
      <c r="A60" s="121"/>
      <c r="B60" s="237"/>
      <c r="C60" s="122" t="s">
        <v>84</v>
      </c>
      <c r="D60" s="181">
        <f t="shared" si="26"/>
        <v>0</v>
      </c>
      <c r="E60" s="124" t="str">
        <f t="shared" si="17"/>
        <v/>
      </c>
      <c r="F60" s="125">
        <f t="shared" si="18"/>
        <v>0</v>
      </c>
      <c r="G60" s="238">
        <f t="shared" si="19"/>
        <v>0</v>
      </c>
      <c r="H60" s="262">
        <f t="shared" si="27"/>
        <v>0</v>
      </c>
      <c r="I60" s="125">
        <f t="shared" si="20"/>
        <v>0</v>
      </c>
      <c r="J60" s="125">
        <f t="shared" si="28"/>
        <v>0</v>
      </c>
      <c r="K60" s="126">
        <f t="shared" si="29"/>
        <v>0</v>
      </c>
      <c r="L60" s="99"/>
      <c r="M60" s="127"/>
      <c r="N60" s="237"/>
      <c r="O60" s="128" t="s">
        <v>84</v>
      </c>
      <c r="P60" s="123">
        <f t="shared" si="21"/>
        <v>0</v>
      </c>
      <c r="Q60" s="124" t="str">
        <f t="shared" si="22"/>
        <v/>
      </c>
      <c r="R60" s="125">
        <f t="shared" si="23"/>
        <v>0</v>
      </c>
      <c r="S60" s="238">
        <f t="shared" si="24"/>
        <v>0</v>
      </c>
      <c r="T60" s="262">
        <f t="shared" si="30"/>
        <v>0</v>
      </c>
      <c r="U60" s="125">
        <f t="shared" si="25"/>
        <v>0</v>
      </c>
      <c r="V60" s="125">
        <f t="shared" si="31"/>
        <v>0</v>
      </c>
      <c r="W60" s="126">
        <f t="shared" si="32"/>
        <v>0</v>
      </c>
      <c r="X60" s="75"/>
    </row>
    <row r="61" spans="1:37" ht="15.75" customHeight="1" thickBot="1">
      <c r="A61" s="121"/>
      <c r="B61" s="237"/>
      <c r="C61" s="132" t="s">
        <v>85</v>
      </c>
      <c r="D61" s="181">
        <f t="shared" si="26"/>
        <v>0</v>
      </c>
      <c r="E61" s="124" t="str">
        <f t="shared" si="17"/>
        <v/>
      </c>
      <c r="F61" s="125">
        <f t="shared" si="18"/>
        <v>0</v>
      </c>
      <c r="G61" s="238">
        <f t="shared" si="19"/>
        <v>0</v>
      </c>
      <c r="H61" s="262">
        <f t="shared" si="27"/>
        <v>0</v>
      </c>
      <c r="I61" s="125">
        <f t="shared" si="20"/>
        <v>0</v>
      </c>
      <c r="J61" s="125">
        <f t="shared" si="28"/>
        <v>0</v>
      </c>
      <c r="K61" s="126">
        <f t="shared" si="29"/>
        <v>0</v>
      </c>
      <c r="L61" s="99"/>
      <c r="M61" s="127"/>
      <c r="N61" s="237"/>
      <c r="O61" s="136" t="s">
        <v>85</v>
      </c>
      <c r="P61" s="123">
        <f t="shared" si="21"/>
        <v>0</v>
      </c>
      <c r="Q61" s="124" t="str">
        <f t="shared" si="22"/>
        <v/>
      </c>
      <c r="R61" s="125">
        <f t="shared" si="23"/>
        <v>0</v>
      </c>
      <c r="S61" s="238">
        <f t="shared" si="24"/>
        <v>0</v>
      </c>
      <c r="T61" s="262">
        <f t="shared" si="30"/>
        <v>0</v>
      </c>
      <c r="U61" s="125">
        <f t="shared" si="25"/>
        <v>0</v>
      </c>
      <c r="V61" s="125">
        <f t="shared" si="31"/>
        <v>0</v>
      </c>
      <c r="W61" s="126">
        <f t="shared" si="32"/>
        <v>0</v>
      </c>
      <c r="X61" s="75"/>
    </row>
    <row r="62" spans="1:37" ht="15.75" customHeight="1" thickBot="1">
      <c r="C62" s="144"/>
      <c r="D62" s="145" t="s">
        <v>77</v>
      </c>
      <c r="E62" s="146"/>
      <c r="F62" s="147">
        <f>SUM(F46:F61,0)</f>
        <v>0</v>
      </c>
      <c r="G62" s="147"/>
      <c r="H62" s="139"/>
      <c r="I62" s="147">
        <f>SUM(I46:I61,0)</f>
        <v>0</v>
      </c>
      <c r="J62" s="147">
        <f>SUM(J46:J61,0)</f>
        <v>0</v>
      </c>
      <c r="K62" s="148">
        <f>SUM(K46:K61,0)</f>
        <v>0</v>
      </c>
      <c r="L62" s="227"/>
      <c r="M62" s="99"/>
      <c r="N62" s="75"/>
      <c r="O62" s="145"/>
      <c r="P62" s="146" t="s">
        <v>77</v>
      </c>
      <c r="Q62" s="146"/>
      <c r="R62" s="147">
        <f>SUM(R46:R61,0)</f>
        <v>0</v>
      </c>
      <c r="S62" s="147"/>
      <c r="T62" s="139"/>
      <c r="U62" s="147">
        <f>SUM(U46:U61,0)</f>
        <v>0</v>
      </c>
      <c r="V62" s="147">
        <f>SUM(V46:V61,0)</f>
        <v>0</v>
      </c>
      <c r="W62" s="148">
        <f>SUM(W46:W61,0)</f>
        <v>0</v>
      </c>
      <c r="X62" s="75"/>
    </row>
    <row r="63" spans="1:37">
      <c r="C63" s="98"/>
      <c r="D63" s="75"/>
      <c r="E63" s="75"/>
      <c r="F63" s="99"/>
      <c r="G63" s="75"/>
      <c r="H63" s="99"/>
      <c r="I63" s="99"/>
      <c r="J63" s="99"/>
      <c r="K63" s="227"/>
      <c r="L63" s="99"/>
      <c r="M63" s="75"/>
      <c r="N63" s="75"/>
      <c r="O63" s="75"/>
      <c r="P63" s="75"/>
      <c r="Q63" s="75"/>
      <c r="R63" s="75"/>
      <c r="S63" s="75"/>
      <c r="T63" s="75"/>
      <c r="U63" s="75"/>
      <c r="V63" s="75"/>
    </row>
    <row r="64" spans="1:37" ht="18.75" customHeight="1">
      <c r="A64" s="309" t="s">
        <v>89</v>
      </c>
      <c r="B64" s="306" t="s">
        <v>170</v>
      </c>
      <c r="C64" s="301" t="s">
        <v>44</v>
      </c>
      <c r="D64" s="298"/>
      <c r="E64" s="298"/>
      <c r="F64" s="298"/>
      <c r="G64" s="298"/>
      <c r="H64" s="298"/>
      <c r="I64" s="298"/>
      <c r="J64" s="298"/>
      <c r="K64" s="298"/>
      <c r="L64" s="227"/>
      <c r="M64" s="311" t="s">
        <v>89</v>
      </c>
      <c r="N64" s="302" t="s">
        <v>170</v>
      </c>
      <c r="O64" s="301" t="s">
        <v>96</v>
      </c>
      <c r="P64" s="298"/>
      <c r="Q64" s="298"/>
      <c r="R64" s="298"/>
      <c r="S64" s="298"/>
      <c r="T64" s="298"/>
      <c r="U64" s="298"/>
      <c r="V64" s="298"/>
      <c r="W64" s="298"/>
    </row>
    <row r="65" spans="1:24" ht="42.75" customHeight="1">
      <c r="A65" s="310"/>
      <c r="B65" s="306"/>
      <c r="C65" s="74"/>
      <c r="D65" s="93" t="s">
        <v>28</v>
      </c>
      <c r="E65" s="149" t="s">
        <v>29</v>
      </c>
      <c r="F65" s="95" t="s">
        <v>30</v>
      </c>
      <c r="G65" s="95" t="s">
        <v>169</v>
      </c>
      <c r="H65" s="95" t="s">
        <v>76</v>
      </c>
      <c r="I65" s="95" t="s">
        <v>31</v>
      </c>
      <c r="J65" s="95" t="s">
        <v>26</v>
      </c>
      <c r="K65" s="120" t="s">
        <v>27</v>
      </c>
      <c r="L65" s="95"/>
      <c r="M65" s="312"/>
      <c r="N65" s="303"/>
      <c r="O65" s="74"/>
      <c r="P65" s="93" t="s">
        <v>28</v>
      </c>
      <c r="Q65" s="149" t="s">
        <v>29</v>
      </c>
      <c r="R65" s="95" t="s">
        <v>30</v>
      </c>
      <c r="S65" s="95" t="s">
        <v>169</v>
      </c>
      <c r="T65" s="95" t="s">
        <v>76</v>
      </c>
      <c r="U65" s="95" t="s">
        <v>31</v>
      </c>
      <c r="V65" s="95" t="s">
        <v>26</v>
      </c>
      <c r="W65" s="120" t="s">
        <v>27</v>
      </c>
      <c r="X65" s="75"/>
    </row>
    <row r="66" spans="1:24" ht="15.75" customHeight="1">
      <c r="A66" s="121"/>
      <c r="B66" s="237"/>
      <c r="C66" s="110" t="s">
        <v>33</v>
      </c>
      <c r="D66" s="123">
        <f>B6</f>
        <v>0</v>
      </c>
      <c r="E66" s="124" t="str">
        <f t="shared" ref="E66:E81" si="33">IF($K6&gt;0,"Faculty",IF($L6&gt;0,"Admin/Exec",IF($M6&gt;0,"Staff",IF($N6&gt;0,"OPS",IF($O6&gt;0,"Post Doc",IF($P6&gt;0,"Grad Asst",IF($Q6&gt;0,"MISC","")))))))</f>
        <v/>
      </c>
      <c r="F66" s="125">
        <f t="shared" ref="F66:F81" si="34">IF(($R46+($R46*$F6))&gt;$J$3,$J$3,($R46+($R46*$F6)))</f>
        <v>0</v>
      </c>
      <c r="G66" s="239">
        <f t="shared" ref="G66:G81" si="35">IF((AU1=TRUE),IF(B66&lt;&gt;"",B66/$D6,$J6))</f>
        <v>0</v>
      </c>
      <c r="H66" s="262">
        <f>IF(AU1=TRUE,$T46*(1+$H6),0)</f>
        <v>0</v>
      </c>
      <c r="I66" s="125">
        <f t="shared" ref="I66:I81" si="36">IF((AU1=TRUE),IF(($B66&lt;=0),($F66*$J6),($F66*$G66)))</f>
        <v>0</v>
      </c>
      <c r="J66" s="125">
        <f>IF((AU1=TRUE),(H66*I66),0)</f>
        <v>0</v>
      </c>
      <c r="K66" s="126">
        <f>SUM(I66:J66,0)</f>
        <v>0</v>
      </c>
      <c r="L66" s="99"/>
      <c r="M66" s="150"/>
      <c r="N66" s="237"/>
      <c r="O66" s="151" t="s">
        <v>33</v>
      </c>
      <c r="P66" s="182">
        <f t="shared" ref="P66:P81" si="37">B6</f>
        <v>0</v>
      </c>
      <c r="Q66" s="124" t="str">
        <f t="shared" ref="Q66:Q81" si="38">IF($K6&gt;0,"Faculty",IF($L6&gt;0,"Admin/Exec",IF($M6&gt;0,"Staff",IF($N6&gt;0,"OPS",IF($O6&gt;0,"Post Doc",IF($P6&gt;0,"Grad Asst",IF($Q6&gt;0,"MISC","")))))))</f>
        <v/>
      </c>
      <c r="R66" s="125">
        <f t="shared" ref="R66:R81" si="39">IF(($F66+($F66*$F6))&gt;$J$3,$J$3,($F66+($F66*$F6)))</f>
        <v>0</v>
      </c>
      <c r="S66" s="239">
        <f t="shared" ref="S66:S81" si="40">IF((AV1=TRUE),IF(N66&lt;&gt;"",N66/$D6,$J6))</f>
        <v>0</v>
      </c>
      <c r="T66" s="262">
        <f>IF(AV1=TRUE,$H66*(1+$H6),0)</f>
        <v>0</v>
      </c>
      <c r="U66" s="125">
        <f t="shared" ref="U66:U81" si="41">IF((AV1=TRUE),IF(($N66&lt;=0),($R66*$J6),($R66*$S66)))</f>
        <v>0</v>
      </c>
      <c r="V66" s="125">
        <f>IF((AV1=TRUE),(T66*U66),0)</f>
        <v>0</v>
      </c>
      <c r="W66" s="126">
        <f>SUM(U66:V66,0)</f>
        <v>0</v>
      </c>
    </row>
    <row r="67" spans="1:24" ht="15.75" customHeight="1">
      <c r="A67" s="121"/>
      <c r="B67" s="237"/>
      <c r="C67" s="129" t="s">
        <v>34</v>
      </c>
      <c r="D67" s="123">
        <f t="shared" ref="D67:D81" si="42">B7</f>
        <v>0</v>
      </c>
      <c r="E67" s="124" t="str">
        <f t="shared" si="33"/>
        <v/>
      </c>
      <c r="F67" s="125">
        <f t="shared" si="34"/>
        <v>0</v>
      </c>
      <c r="G67" s="239">
        <f t="shared" si="35"/>
        <v>0</v>
      </c>
      <c r="H67" s="262">
        <f t="shared" ref="H67:H81" si="43">IF(AU2=TRUE,$T47*(1+$H7),0)</f>
        <v>0</v>
      </c>
      <c r="I67" s="125">
        <f t="shared" si="36"/>
        <v>0</v>
      </c>
      <c r="J67" s="125">
        <f t="shared" ref="J67:J81" si="44">IF((AU2=TRUE),(H67*I67),0)</f>
        <v>0</v>
      </c>
      <c r="K67" s="126">
        <f t="shared" ref="K67:K81" si="45">SUM(I67:J67,0)</f>
        <v>0</v>
      </c>
      <c r="L67" s="99"/>
      <c r="M67" s="150"/>
      <c r="N67" s="237"/>
      <c r="O67" s="152" t="s">
        <v>34</v>
      </c>
      <c r="P67" s="182">
        <f t="shared" si="37"/>
        <v>0</v>
      </c>
      <c r="Q67" s="124" t="str">
        <f t="shared" si="38"/>
        <v/>
      </c>
      <c r="R67" s="125">
        <f t="shared" si="39"/>
        <v>0</v>
      </c>
      <c r="S67" s="239">
        <f t="shared" si="40"/>
        <v>0</v>
      </c>
      <c r="T67" s="262">
        <f t="shared" ref="T67:T81" si="46">IF(AV2=TRUE,$H67*(1+$H7),0)</f>
        <v>0</v>
      </c>
      <c r="U67" s="125">
        <f t="shared" si="41"/>
        <v>0</v>
      </c>
      <c r="V67" s="125">
        <f t="shared" ref="V67:V81" si="47">IF((AV2=TRUE),(T67*U67),0)</f>
        <v>0</v>
      </c>
      <c r="W67" s="126">
        <f t="shared" ref="W67:W81" si="48">SUM(U67:V67,0)</f>
        <v>0</v>
      </c>
    </row>
    <row r="68" spans="1:24" ht="15.75" customHeight="1">
      <c r="A68" s="121"/>
      <c r="B68" s="237"/>
      <c r="C68" s="110" t="s">
        <v>35</v>
      </c>
      <c r="D68" s="123">
        <f t="shared" si="42"/>
        <v>0</v>
      </c>
      <c r="E68" s="124" t="str">
        <f t="shared" si="33"/>
        <v/>
      </c>
      <c r="F68" s="125">
        <f t="shared" si="34"/>
        <v>0</v>
      </c>
      <c r="G68" s="239">
        <f t="shared" si="35"/>
        <v>0</v>
      </c>
      <c r="H68" s="262">
        <f t="shared" si="43"/>
        <v>0</v>
      </c>
      <c r="I68" s="125">
        <f t="shared" si="36"/>
        <v>0</v>
      </c>
      <c r="J68" s="125">
        <f t="shared" si="44"/>
        <v>0</v>
      </c>
      <c r="K68" s="126">
        <f t="shared" si="45"/>
        <v>0</v>
      </c>
      <c r="L68" s="99"/>
      <c r="M68" s="150"/>
      <c r="N68" s="237"/>
      <c r="O68" s="151" t="s">
        <v>35</v>
      </c>
      <c r="P68" s="182">
        <f t="shared" si="37"/>
        <v>0</v>
      </c>
      <c r="Q68" s="124" t="str">
        <f t="shared" si="38"/>
        <v/>
      </c>
      <c r="R68" s="125">
        <f t="shared" si="39"/>
        <v>0</v>
      </c>
      <c r="S68" s="239">
        <f t="shared" si="40"/>
        <v>0</v>
      </c>
      <c r="T68" s="262">
        <f t="shared" si="46"/>
        <v>0</v>
      </c>
      <c r="U68" s="125">
        <f t="shared" si="41"/>
        <v>0</v>
      </c>
      <c r="V68" s="125">
        <f t="shared" si="47"/>
        <v>0</v>
      </c>
      <c r="W68" s="126">
        <f t="shared" si="48"/>
        <v>0</v>
      </c>
    </row>
    <row r="69" spans="1:24" ht="15.75" customHeight="1">
      <c r="A69" s="121"/>
      <c r="B69" s="237"/>
      <c r="C69" s="153" t="s">
        <v>36</v>
      </c>
      <c r="D69" s="123">
        <f t="shared" si="42"/>
        <v>0</v>
      </c>
      <c r="E69" s="124" t="str">
        <f t="shared" si="33"/>
        <v/>
      </c>
      <c r="F69" s="125">
        <f t="shared" si="34"/>
        <v>0</v>
      </c>
      <c r="G69" s="239">
        <f t="shared" si="35"/>
        <v>0</v>
      </c>
      <c r="H69" s="262">
        <f t="shared" si="43"/>
        <v>0</v>
      </c>
      <c r="I69" s="125">
        <f t="shared" si="36"/>
        <v>0</v>
      </c>
      <c r="J69" s="125">
        <f t="shared" si="44"/>
        <v>0</v>
      </c>
      <c r="K69" s="126">
        <f t="shared" si="45"/>
        <v>0</v>
      </c>
      <c r="L69" s="99"/>
      <c r="M69" s="150"/>
      <c r="N69" s="237"/>
      <c r="O69" s="154" t="s">
        <v>36</v>
      </c>
      <c r="P69" s="182">
        <f t="shared" si="37"/>
        <v>0</v>
      </c>
      <c r="Q69" s="124" t="str">
        <f t="shared" si="38"/>
        <v/>
      </c>
      <c r="R69" s="125">
        <f t="shared" si="39"/>
        <v>0</v>
      </c>
      <c r="S69" s="239">
        <f t="shared" si="40"/>
        <v>0</v>
      </c>
      <c r="T69" s="262">
        <f t="shared" si="46"/>
        <v>0</v>
      </c>
      <c r="U69" s="125">
        <f t="shared" si="41"/>
        <v>0</v>
      </c>
      <c r="V69" s="125">
        <f t="shared" si="47"/>
        <v>0</v>
      </c>
      <c r="W69" s="126">
        <f t="shared" si="48"/>
        <v>0</v>
      </c>
    </row>
    <row r="70" spans="1:24" ht="15.75" customHeight="1">
      <c r="A70" s="121"/>
      <c r="B70" s="237"/>
      <c r="C70" s="122" t="s">
        <v>37</v>
      </c>
      <c r="D70" s="123">
        <f t="shared" si="42"/>
        <v>0</v>
      </c>
      <c r="E70" s="124" t="str">
        <f t="shared" si="33"/>
        <v/>
      </c>
      <c r="F70" s="125">
        <f t="shared" si="34"/>
        <v>0</v>
      </c>
      <c r="G70" s="239">
        <f t="shared" si="35"/>
        <v>0</v>
      </c>
      <c r="H70" s="262">
        <f t="shared" si="43"/>
        <v>0</v>
      </c>
      <c r="I70" s="125">
        <f t="shared" si="36"/>
        <v>0</v>
      </c>
      <c r="J70" s="125">
        <f t="shared" si="44"/>
        <v>0</v>
      </c>
      <c r="K70" s="126">
        <f t="shared" si="45"/>
        <v>0</v>
      </c>
      <c r="L70" s="99"/>
      <c r="M70" s="150"/>
      <c r="N70" s="237"/>
      <c r="O70" s="152" t="s">
        <v>37</v>
      </c>
      <c r="P70" s="182">
        <f t="shared" si="37"/>
        <v>0</v>
      </c>
      <c r="Q70" s="124" t="str">
        <f t="shared" si="38"/>
        <v/>
      </c>
      <c r="R70" s="125">
        <f t="shared" si="39"/>
        <v>0</v>
      </c>
      <c r="S70" s="239">
        <f t="shared" si="40"/>
        <v>0</v>
      </c>
      <c r="T70" s="262">
        <f t="shared" si="46"/>
        <v>0</v>
      </c>
      <c r="U70" s="125">
        <f t="shared" si="41"/>
        <v>0</v>
      </c>
      <c r="V70" s="125">
        <f t="shared" si="47"/>
        <v>0</v>
      </c>
      <c r="W70" s="126">
        <f t="shared" si="48"/>
        <v>0</v>
      </c>
    </row>
    <row r="71" spans="1:24" ht="15.75" customHeight="1">
      <c r="A71" s="121"/>
      <c r="B71" s="237"/>
      <c r="C71" s="129" t="s">
        <v>38</v>
      </c>
      <c r="D71" s="123">
        <f t="shared" si="42"/>
        <v>0</v>
      </c>
      <c r="E71" s="124" t="str">
        <f t="shared" si="33"/>
        <v/>
      </c>
      <c r="F71" s="125">
        <f t="shared" si="34"/>
        <v>0</v>
      </c>
      <c r="G71" s="239">
        <f t="shared" si="35"/>
        <v>0</v>
      </c>
      <c r="H71" s="262">
        <f t="shared" si="43"/>
        <v>0</v>
      </c>
      <c r="I71" s="125">
        <f t="shared" si="36"/>
        <v>0</v>
      </c>
      <c r="J71" s="125">
        <f t="shared" si="44"/>
        <v>0</v>
      </c>
      <c r="K71" s="126">
        <f t="shared" si="45"/>
        <v>0</v>
      </c>
      <c r="L71" s="99"/>
      <c r="M71" s="150"/>
      <c r="N71" s="237"/>
      <c r="O71" s="152" t="s">
        <v>38</v>
      </c>
      <c r="P71" s="182">
        <f t="shared" si="37"/>
        <v>0</v>
      </c>
      <c r="Q71" s="124" t="str">
        <f t="shared" si="38"/>
        <v/>
      </c>
      <c r="R71" s="125">
        <f t="shared" si="39"/>
        <v>0</v>
      </c>
      <c r="S71" s="239">
        <f t="shared" si="40"/>
        <v>0</v>
      </c>
      <c r="T71" s="262">
        <f t="shared" si="46"/>
        <v>0</v>
      </c>
      <c r="U71" s="125">
        <f t="shared" si="41"/>
        <v>0</v>
      </c>
      <c r="V71" s="125">
        <f t="shared" si="47"/>
        <v>0</v>
      </c>
      <c r="W71" s="126">
        <f t="shared" si="48"/>
        <v>0</v>
      </c>
    </row>
    <row r="72" spans="1:24" ht="15.75" customHeight="1">
      <c r="A72" s="121"/>
      <c r="B72" s="237"/>
      <c r="C72" s="122" t="s">
        <v>39</v>
      </c>
      <c r="D72" s="123">
        <f t="shared" si="42"/>
        <v>0</v>
      </c>
      <c r="E72" s="124" t="str">
        <f t="shared" si="33"/>
        <v/>
      </c>
      <c r="F72" s="125">
        <f t="shared" si="34"/>
        <v>0</v>
      </c>
      <c r="G72" s="239">
        <f t="shared" si="35"/>
        <v>0</v>
      </c>
      <c r="H72" s="262">
        <f t="shared" si="43"/>
        <v>0</v>
      </c>
      <c r="I72" s="125">
        <f t="shared" si="36"/>
        <v>0</v>
      </c>
      <c r="J72" s="125">
        <f t="shared" si="44"/>
        <v>0</v>
      </c>
      <c r="K72" s="126">
        <f t="shared" si="45"/>
        <v>0</v>
      </c>
      <c r="L72" s="99"/>
      <c r="M72" s="150"/>
      <c r="N72" s="237"/>
      <c r="O72" s="152" t="s">
        <v>39</v>
      </c>
      <c r="P72" s="182">
        <f t="shared" si="37"/>
        <v>0</v>
      </c>
      <c r="Q72" s="124" t="str">
        <f t="shared" si="38"/>
        <v/>
      </c>
      <c r="R72" s="125">
        <f t="shared" si="39"/>
        <v>0</v>
      </c>
      <c r="S72" s="239">
        <f t="shared" si="40"/>
        <v>0</v>
      </c>
      <c r="T72" s="262">
        <f t="shared" si="46"/>
        <v>0</v>
      </c>
      <c r="U72" s="125">
        <f t="shared" si="41"/>
        <v>0</v>
      </c>
      <c r="V72" s="125">
        <f t="shared" si="47"/>
        <v>0</v>
      </c>
      <c r="W72" s="126">
        <f t="shared" si="48"/>
        <v>0</v>
      </c>
    </row>
    <row r="73" spans="1:24" ht="15.75" customHeight="1">
      <c r="A73" s="121"/>
      <c r="B73" s="237"/>
      <c r="C73" s="129" t="s">
        <v>40</v>
      </c>
      <c r="D73" s="123">
        <f t="shared" si="42"/>
        <v>0</v>
      </c>
      <c r="E73" s="124" t="str">
        <f t="shared" si="33"/>
        <v/>
      </c>
      <c r="F73" s="125">
        <f t="shared" si="34"/>
        <v>0</v>
      </c>
      <c r="G73" s="239">
        <f t="shared" si="35"/>
        <v>0</v>
      </c>
      <c r="H73" s="262">
        <f t="shared" si="43"/>
        <v>0</v>
      </c>
      <c r="I73" s="125">
        <f t="shared" si="36"/>
        <v>0</v>
      </c>
      <c r="J73" s="125">
        <f t="shared" si="44"/>
        <v>0</v>
      </c>
      <c r="K73" s="126">
        <f t="shared" si="45"/>
        <v>0</v>
      </c>
      <c r="L73" s="99"/>
      <c r="M73" s="150"/>
      <c r="N73" s="237"/>
      <c r="O73" s="152" t="s">
        <v>40</v>
      </c>
      <c r="P73" s="182">
        <f t="shared" si="37"/>
        <v>0</v>
      </c>
      <c r="Q73" s="124" t="str">
        <f t="shared" si="38"/>
        <v/>
      </c>
      <c r="R73" s="125">
        <f t="shared" si="39"/>
        <v>0</v>
      </c>
      <c r="S73" s="239">
        <f t="shared" si="40"/>
        <v>0</v>
      </c>
      <c r="T73" s="262">
        <f t="shared" si="46"/>
        <v>0</v>
      </c>
      <c r="U73" s="125">
        <f t="shared" si="41"/>
        <v>0</v>
      </c>
      <c r="V73" s="125">
        <f t="shared" si="47"/>
        <v>0</v>
      </c>
      <c r="W73" s="126">
        <f t="shared" si="48"/>
        <v>0</v>
      </c>
    </row>
    <row r="74" spans="1:24" ht="15.75" customHeight="1">
      <c r="A74" s="150"/>
      <c r="B74" s="237"/>
      <c r="C74" s="155" t="s">
        <v>78</v>
      </c>
      <c r="D74" s="123">
        <f t="shared" si="42"/>
        <v>0</v>
      </c>
      <c r="E74" s="124" t="str">
        <f t="shared" si="33"/>
        <v/>
      </c>
      <c r="F74" s="125">
        <f t="shared" si="34"/>
        <v>0</v>
      </c>
      <c r="G74" s="239">
        <f t="shared" si="35"/>
        <v>0</v>
      </c>
      <c r="H74" s="262">
        <f t="shared" si="43"/>
        <v>0</v>
      </c>
      <c r="I74" s="125">
        <f t="shared" si="36"/>
        <v>0</v>
      </c>
      <c r="J74" s="125">
        <f t="shared" si="44"/>
        <v>0</v>
      </c>
      <c r="K74" s="126">
        <f t="shared" si="45"/>
        <v>0</v>
      </c>
      <c r="L74" s="99"/>
      <c r="M74" s="150"/>
      <c r="N74" s="237"/>
      <c r="O74" s="154" t="s">
        <v>78</v>
      </c>
      <c r="P74" s="182">
        <f t="shared" si="37"/>
        <v>0</v>
      </c>
      <c r="Q74" s="124" t="str">
        <f t="shared" si="38"/>
        <v/>
      </c>
      <c r="R74" s="125">
        <f t="shared" si="39"/>
        <v>0</v>
      </c>
      <c r="S74" s="239">
        <f t="shared" si="40"/>
        <v>0</v>
      </c>
      <c r="T74" s="262">
        <f t="shared" si="46"/>
        <v>0</v>
      </c>
      <c r="U74" s="125">
        <f t="shared" si="41"/>
        <v>0</v>
      </c>
      <c r="V74" s="125">
        <f t="shared" si="47"/>
        <v>0</v>
      </c>
      <c r="W74" s="126">
        <f t="shared" si="48"/>
        <v>0</v>
      </c>
    </row>
    <row r="75" spans="1:24" ht="15.75" customHeight="1">
      <c r="A75" s="150"/>
      <c r="B75" s="237"/>
      <c r="C75" s="129" t="s">
        <v>79</v>
      </c>
      <c r="D75" s="123">
        <f t="shared" si="42"/>
        <v>0</v>
      </c>
      <c r="E75" s="124" t="str">
        <f t="shared" si="33"/>
        <v/>
      </c>
      <c r="F75" s="125">
        <f t="shared" si="34"/>
        <v>0</v>
      </c>
      <c r="G75" s="239">
        <f t="shared" si="35"/>
        <v>0</v>
      </c>
      <c r="H75" s="262">
        <f t="shared" si="43"/>
        <v>0</v>
      </c>
      <c r="I75" s="125">
        <f t="shared" si="36"/>
        <v>0</v>
      </c>
      <c r="J75" s="125">
        <f t="shared" si="44"/>
        <v>0</v>
      </c>
      <c r="K75" s="126">
        <f t="shared" si="45"/>
        <v>0</v>
      </c>
      <c r="L75" s="99"/>
      <c r="M75" s="150"/>
      <c r="N75" s="237"/>
      <c r="O75" s="152" t="s">
        <v>79</v>
      </c>
      <c r="P75" s="182">
        <f t="shared" si="37"/>
        <v>0</v>
      </c>
      <c r="Q75" s="124" t="str">
        <f t="shared" si="38"/>
        <v/>
      </c>
      <c r="R75" s="125">
        <f t="shared" si="39"/>
        <v>0</v>
      </c>
      <c r="S75" s="239">
        <f t="shared" si="40"/>
        <v>0</v>
      </c>
      <c r="T75" s="262">
        <f t="shared" si="46"/>
        <v>0</v>
      </c>
      <c r="U75" s="125">
        <f t="shared" si="41"/>
        <v>0</v>
      </c>
      <c r="V75" s="125">
        <f t="shared" si="47"/>
        <v>0</v>
      </c>
      <c r="W75" s="126">
        <f t="shared" si="48"/>
        <v>0</v>
      </c>
    </row>
    <row r="76" spans="1:24" ht="15.75" customHeight="1">
      <c r="A76" s="150"/>
      <c r="B76" s="237"/>
      <c r="C76" s="122" t="s">
        <v>80</v>
      </c>
      <c r="D76" s="123">
        <f t="shared" si="42"/>
        <v>0</v>
      </c>
      <c r="E76" s="124" t="str">
        <f t="shared" si="33"/>
        <v/>
      </c>
      <c r="F76" s="125">
        <f t="shared" si="34"/>
        <v>0</v>
      </c>
      <c r="G76" s="239">
        <f t="shared" si="35"/>
        <v>0</v>
      </c>
      <c r="H76" s="262">
        <f t="shared" si="43"/>
        <v>0</v>
      </c>
      <c r="I76" s="125">
        <f t="shared" si="36"/>
        <v>0</v>
      </c>
      <c r="J76" s="125">
        <f t="shared" si="44"/>
        <v>0</v>
      </c>
      <c r="K76" s="126">
        <f t="shared" si="45"/>
        <v>0</v>
      </c>
      <c r="L76" s="99"/>
      <c r="M76" s="150"/>
      <c r="N76" s="237"/>
      <c r="O76" s="152" t="s">
        <v>80</v>
      </c>
      <c r="P76" s="182">
        <f t="shared" si="37"/>
        <v>0</v>
      </c>
      <c r="Q76" s="124" t="str">
        <f t="shared" si="38"/>
        <v/>
      </c>
      <c r="R76" s="125">
        <f t="shared" si="39"/>
        <v>0</v>
      </c>
      <c r="S76" s="239">
        <f t="shared" si="40"/>
        <v>0</v>
      </c>
      <c r="T76" s="262">
        <f t="shared" si="46"/>
        <v>0</v>
      </c>
      <c r="U76" s="125">
        <f t="shared" si="41"/>
        <v>0</v>
      </c>
      <c r="V76" s="125">
        <f t="shared" si="47"/>
        <v>0</v>
      </c>
      <c r="W76" s="126">
        <f t="shared" si="48"/>
        <v>0</v>
      </c>
    </row>
    <row r="77" spans="1:24" ht="15.75" customHeight="1">
      <c r="A77" s="150"/>
      <c r="B77" s="237"/>
      <c r="C77" s="153" t="s">
        <v>81</v>
      </c>
      <c r="D77" s="123">
        <f t="shared" si="42"/>
        <v>0</v>
      </c>
      <c r="E77" s="124" t="str">
        <f t="shared" si="33"/>
        <v/>
      </c>
      <c r="F77" s="125">
        <f t="shared" si="34"/>
        <v>0</v>
      </c>
      <c r="G77" s="239">
        <f t="shared" si="35"/>
        <v>0</v>
      </c>
      <c r="H77" s="262">
        <f t="shared" si="43"/>
        <v>0</v>
      </c>
      <c r="I77" s="125">
        <f t="shared" si="36"/>
        <v>0</v>
      </c>
      <c r="J77" s="125">
        <f t="shared" si="44"/>
        <v>0</v>
      </c>
      <c r="K77" s="126">
        <f t="shared" si="45"/>
        <v>0</v>
      </c>
      <c r="L77" s="99"/>
      <c r="M77" s="150"/>
      <c r="N77" s="237"/>
      <c r="O77" s="154" t="s">
        <v>81</v>
      </c>
      <c r="P77" s="182">
        <f t="shared" si="37"/>
        <v>0</v>
      </c>
      <c r="Q77" s="124" t="str">
        <f t="shared" si="38"/>
        <v/>
      </c>
      <c r="R77" s="125">
        <f t="shared" si="39"/>
        <v>0</v>
      </c>
      <c r="S77" s="239">
        <f t="shared" si="40"/>
        <v>0</v>
      </c>
      <c r="T77" s="262">
        <f t="shared" si="46"/>
        <v>0</v>
      </c>
      <c r="U77" s="125">
        <f t="shared" si="41"/>
        <v>0</v>
      </c>
      <c r="V77" s="125">
        <f t="shared" si="47"/>
        <v>0</v>
      </c>
      <c r="W77" s="126">
        <f t="shared" si="48"/>
        <v>0</v>
      </c>
    </row>
    <row r="78" spans="1:24" ht="15.75" customHeight="1">
      <c r="A78" s="150"/>
      <c r="B78" s="237"/>
      <c r="C78" s="122" t="s">
        <v>82</v>
      </c>
      <c r="D78" s="123">
        <f t="shared" si="42"/>
        <v>0</v>
      </c>
      <c r="E78" s="124" t="str">
        <f t="shared" si="33"/>
        <v/>
      </c>
      <c r="F78" s="125">
        <f t="shared" si="34"/>
        <v>0</v>
      </c>
      <c r="G78" s="239">
        <f t="shared" si="35"/>
        <v>0</v>
      </c>
      <c r="H78" s="262">
        <f t="shared" si="43"/>
        <v>0</v>
      </c>
      <c r="I78" s="125">
        <f t="shared" si="36"/>
        <v>0</v>
      </c>
      <c r="J78" s="125">
        <f t="shared" si="44"/>
        <v>0</v>
      </c>
      <c r="K78" s="126">
        <f t="shared" si="45"/>
        <v>0</v>
      </c>
      <c r="L78" s="99"/>
      <c r="M78" s="150"/>
      <c r="N78" s="237"/>
      <c r="O78" s="152" t="s">
        <v>82</v>
      </c>
      <c r="P78" s="182">
        <f t="shared" si="37"/>
        <v>0</v>
      </c>
      <c r="Q78" s="124" t="str">
        <f t="shared" si="38"/>
        <v/>
      </c>
      <c r="R78" s="125">
        <f t="shared" si="39"/>
        <v>0</v>
      </c>
      <c r="S78" s="239">
        <f t="shared" si="40"/>
        <v>0</v>
      </c>
      <c r="T78" s="262">
        <f t="shared" si="46"/>
        <v>0</v>
      </c>
      <c r="U78" s="125">
        <f t="shared" si="41"/>
        <v>0</v>
      </c>
      <c r="V78" s="125">
        <f t="shared" si="47"/>
        <v>0</v>
      </c>
      <c r="W78" s="126">
        <f t="shared" si="48"/>
        <v>0</v>
      </c>
    </row>
    <row r="79" spans="1:24" ht="15.75" customHeight="1">
      <c r="A79" s="150"/>
      <c r="B79" s="237"/>
      <c r="C79" s="129" t="s">
        <v>83</v>
      </c>
      <c r="D79" s="123">
        <f t="shared" si="42"/>
        <v>0</v>
      </c>
      <c r="E79" s="124" t="str">
        <f t="shared" si="33"/>
        <v/>
      </c>
      <c r="F79" s="125">
        <f t="shared" si="34"/>
        <v>0</v>
      </c>
      <c r="G79" s="239">
        <f t="shared" si="35"/>
        <v>0</v>
      </c>
      <c r="H79" s="262">
        <f t="shared" si="43"/>
        <v>0</v>
      </c>
      <c r="I79" s="125">
        <f t="shared" si="36"/>
        <v>0</v>
      </c>
      <c r="J79" s="125">
        <f t="shared" si="44"/>
        <v>0</v>
      </c>
      <c r="K79" s="126">
        <f t="shared" si="45"/>
        <v>0</v>
      </c>
      <c r="L79" s="99"/>
      <c r="M79" s="150"/>
      <c r="N79" s="237"/>
      <c r="O79" s="152" t="s">
        <v>83</v>
      </c>
      <c r="P79" s="182">
        <f t="shared" si="37"/>
        <v>0</v>
      </c>
      <c r="Q79" s="124" t="str">
        <f t="shared" si="38"/>
        <v/>
      </c>
      <c r="R79" s="125">
        <f t="shared" si="39"/>
        <v>0</v>
      </c>
      <c r="S79" s="239">
        <f t="shared" si="40"/>
        <v>0</v>
      </c>
      <c r="T79" s="262">
        <f t="shared" si="46"/>
        <v>0</v>
      </c>
      <c r="U79" s="125">
        <f t="shared" si="41"/>
        <v>0</v>
      </c>
      <c r="V79" s="125">
        <f t="shared" si="47"/>
        <v>0</v>
      </c>
      <c r="W79" s="126">
        <f t="shared" si="48"/>
        <v>0</v>
      </c>
    </row>
    <row r="80" spans="1:24" ht="15.75" customHeight="1">
      <c r="A80" s="150"/>
      <c r="B80" s="237"/>
      <c r="C80" s="122" t="s">
        <v>84</v>
      </c>
      <c r="D80" s="123">
        <f t="shared" si="42"/>
        <v>0</v>
      </c>
      <c r="E80" s="124" t="str">
        <f t="shared" si="33"/>
        <v/>
      </c>
      <c r="F80" s="125">
        <f t="shared" si="34"/>
        <v>0</v>
      </c>
      <c r="G80" s="239">
        <f t="shared" si="35"/>
        <v>0</v>
      </c>
      <c r="H80" s="262">
        <f t="shared" si="43"/>
        <v>0</v>
      </c>
      <c r="I80" s="125">
        <f t="shared" si="36"/>
        <v>0</v>
      </c>
      <c r="J80" s="125">
        <f t="shared" si="44"/>
        <v>0</v>
      </c>
      <c r="K80" s="126">
        <f t="shared" si="45"/>
        <v>0</v>
      </c>
      <c r="L80" s="99"/>
      <c r="M80" s="150"/>
      <c r="N80" s="237"/>
      <c r="O80" s="152" t="s">
        <v>84</v>
      </c>
      <c r="P80" s="182">
        <f t="shared" si="37"/>
        <v>0</v>
      </c>
      <c r="Q80" s="124" t="str">
        <f t="shared" si="38"/>
        <v/>
      </c>
      <c r="R80" s="125">
        <f t="shared" si="39"/>
        <v>0</v>
      </c>
      <c r="S80" s="239">
        <f t="shared" si="40"/>
        <v>0</v>
      </c>
      <c r="T80" s="262">
        <f t="shared" si="46"/>
        <v>0</v>
      </c>
      <c r="U80" s="125">
        <f t="shared" si="41"/>
        <v>0</v>
      </c>
      <c r="V80" s="125">
        <f t="shared" si="47"/>
        <v>0</v>
      </c>
      <c r="W80" s="126">
        <f t="shared" si="48"/>
        <v>0</v>
      </c>
    </row>
    <row r="81" spans="1:23" ht="15.75" customHeight="1" thickBot="1">
      <c r="A81" s="150"/>
      <c r="B81" s="237"/>
      <c r="C81" s="132" t="s">
        <v>85</v>
      </c>
      <c r="D81" s="156">
        <f t="shared" si="42"/>
        <v>0</v>
      </c>
      <c r="E81" s="124" t="str">
        <f t="shared" si="33"/>
        <v/>
      </c>
      <c r="F81" s="157">
        <f t="shared" si="34"/>
        <v>0</v>
      </c>
      <c r="G81" s="239">
        <f t="shared" si="35"/>
        <v>0</v>
      </c>
      <c r="H81" s="262">
        <f t="shared" si="43"/>
        <v>0</v>
      </c>
      <c r="I81" s="125">
        <f t="shared" si="36"/>
        <v>0</v>
      </c>
      <c r="J81" s="125">
        <f t="shared" si="44"/>
        <v>0</v>
      </c>
      <c r="K81" s="126">
        <f t="shared" si="45"/>
        <v>0</v>
      </c>
      <c r="L81" s="99"/>
      <c r="M81" s="150"/>
      <c r="N81" s="237"/>
      <c r="O81" s="158" t="s">
        <v>85</v>
      </c>
      <c r="P81" s="182">
        <f t="shared" si="37"/>
        <v>0</v>
      </c>
      <c r="Q81" s="124" t="str">
        <f t="shared" si="38"/>
        <v/>
      </c>
      <c r="R81" s="125">
        <f t="shared" si="39"/>
        <v>0</v>
      </c>
      <c r="S81" s="239">
        <f t="shared" si="40"/>
        <v>0</v>
      </c>
      <c r="T81" s="262">
        <f t="shared" si="46"/>
        <v>0</v>
      </c>
      <c r="U81" s="125">
        <f t="shared" si="41"/>
        <v>0</v>
      </c>
      <c r="V81" s="125">
        <f t="shared" si="47"/>
        <v>0</v>
      </c>
      <c r="W81" s="126">
        <f t="shared" si="48"/>
        <v>0</v>
      </c>
    </row>
    <row r="82" spans="1:23" ht="15.75" customHeight="1" thickBot="1">
      <c r="C82" s="159"/>
      <c r="D82" s="160" t="s">
        <v>77</v>
      </c>
      <c r="E82" s="161"/>
      <c r="F82" s="162">
        <f>SUM(F66:F81,0)</f>
        <v>0</v>
      </c>
      <c r="G82" s="147"/>
      <c r="H82" s="139"/>
      <c r="I82" s="147">
        <f>SUM(I66:I81,0)</f>
        <v>0</v>
      </c>
      <c r="J82" s="147">
        <f>SUM(J66:J81,0)</f>
        <v>0</v>
      </c>
      <c r="K82" s="148">
        <f>SUM(K66:K81,0)</f>
        <v>0</v>
      </c>
      <c r="L82" s="227"/>
      <c r="O82" s="163"/>
      <c r="P82" s="161" t="s">
        <v>77</v>
      </c>
      <c r="Q82" s="161"/>
      <c r="R82" s="147">
        <f>SUM(R66:R81,0)</f>
        <v>0</v>
      </c>
      <c r="S82" s="147"/>
      <c r="T82" s="139"/>
      <c r="U82" s="147">
        <f>SUM(U66:U81,0)</f>
        <v>0</v>
      </c>
      <c r="V82" s="147">
        <f>SUM(V66:V81,0)</f>
        <v>0</v>
      </c>
      <c r="W82" s="148">
        <f>SUM(W66:W81,0)</f>
        <v>0</v>
      </c>
    </row>
  </sheetData>
  <sheetProtection algorithmName="SHA-512" hashValue="afOH8thatFCE0twZNOSRZnGOKQLd4fL96T3jnJAE24CZt+kjCwop/pGHxQFlXdkFHush5YZ/kFgRDiZA/yhqWA==" saltValue="NomFIvJFbqdxFFR9EOb+XQ==" spinCount="100000" sheet="1" selectLockedCells="1"/>
  <mergeCells count="40">
    <mergeCell ref="B7:C7"/>
    <mergeCell ref="B13:C13"/>
    <mergeCell ref="B14:C14"/>
    <mergeCell ref="B11:C11"/>
    <mergeCell ref="B16:C16"/>
    <mergeCell ref="B10:C10"/>
    <mergeCell ref="B12:C12"/>
    <mergeCell ref="AZ1:BG1"/>
    <mergeCell ref="AD4:AF4"/>
    <mergeCell ref="O1:P1"/>
    <mergeCell ref="F1:G1"/>
    <mergeCell ref="B6:C6"/>
    <mergeCell ref="C1:E1"/>
    <mergeCell ref="B5:C5"/>
    <mergeCell ref="A64:A65"/>
    <mergeCell ref="M64:M65"/>
    <mergeCell ref="M24:M25"/>
    <mergeCell ref="A24:A25"/>
    <mergeCell ref="A44:A45"/>
    <mergeCell ref="C44:K44"/>
    <mergeCell ref="C64:K64"/>
    <mergeCell ref="B44:B45"/>
    <mergeCell ref="M44:M45"/>
    <mergeCell ref="B64:B65"/>
    <mergeCell ref="B20:C20"/>
    <mergeCell ref="B24:B25"/>
    <mergeCell ref="B9:C9"/>
    <mergeCell ref="B15:C15"/>
    <mergeCell ref="B8:C8"/>
    <mergeCell ref="B18:C18"/>
    <mergeCell ref="B21:C21"/>
    <mergeCell ref="B17:C17"/>
    <mergeCell ref="B19:C19"/>
    <mergeCell ref="C24:K24"/>
    <mergeCell ref="O24:W24"/>
    <mergeCell ref="N24:N25"/>
    <mergeCell ref="O44:W44"/>
    <mergeCell ref="O64:W64"/>
    <mergeCell ref="N44:N45"/>
    <mergeCell ref="N64:N65"/>
  </mergeCells>
  <phoneticPr fontId="45" type="noConversion"/>
  <dataValidations count="5">
    <dataValidation type="list" allowBlank="1" showInputMessage="1" showErrorMessage="1" sqref="AB40:AC41 AB26:AC28 AE40:AF42 AC43:AD43" xr:uid="{00000000-0002-0000-0100-000000000000}">
      <formula1>"Y, N"</formula1>
    </dataValidation>
    <dataValidation type="list" allowBlank="1" showInputMessage="1" showErrorMessage="1" sqref="C3" xr:uid="{00000000-0002-0000-0100-000001000000}">
      <formula1>"9,12"</formula1>
    </dataValidation>
    <dataValidation type="list" allowBlank="1" showInputMessage="1" showErrorMessage="1" sqref="I6:I11 G6:G21" xr:uid="{00000000-0002-0000-0100-000002000000}">
      <formula1>"y,n"</formula1>
    </dataValidation>
    <dataValidation type="list" allowBlank="1" showInputMessage="1" showErrorMessage="1" sqref="S6:S21" xr:uid="{547D6EEB-B93F-4DF9-911E-CA70B3352602}">
      <formula1>$U$6:$U$17</formula1>
    </dataValidation>
    <dataValidation type="list" allowBlank="1" showInputMessage="1" showErrorMessage="1" sqref="D6:D21" xr:uid="{74AD3FBA-047F-47DE-9234-DEEB0783C84C}">
      <formula1>"9, 12"</formula1>
    </dataValidation>
  </dataValidations>
  <pageMargins left="0.25" right="0.25" top="0.5" bottom="0.5" header="0.5" footer="0.5"/>
  <pageSetup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4" r:id="rId4" name="Check Box 13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25</xdr:row>
                    <xdr:rowOff>25400</xdr:rowOff>
                  </from>
                  <to>
                    <xdr:col>0</xdr:col>
                    <xdr:colOff>254000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" name="Check Box 13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26</xdr:row>
                    <xdr:rowOff>38100</xdr:rowOff>
                  </from>
                  <to>
                    <xdr:col>0</xdr:col>
                    <xdr:colOff>254000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" name="Check Box 13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25400</xdr:rowOff>
                  </from>
                  <to>
                    <xdr:col>0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" name="Check Box 133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25400</xdr:rowOff>
                  </from>
                  <to>
                    <xdr:col>0</xdr:col>
                    <xdr:colOff>254000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0</xdr:rowOff>
                  </from>
                  <to>
                    <xdr:col>0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177800</xdr:rowOff>
                  </from>
                  <to>
                    <xdr:col>0</xdr:col>
                    <xdr:colOff>292100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" name="Check Box 13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31</xdr:row>
                    <xdr:rowOff>25400</xdr:rowOff>
                  </from>
                  <to>
                    <xdr:col>0</xdr:col>
                    <xdr:colOff>254000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" name="Check Box 13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32</xdr:row>
                    <xdr:rowOff>25400</xdr:rowOff>
                  </from>
                  <to>
                    <xdr:col>0</xdr:col>
                    <xdr:colOff>254000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" name="Check Box 13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45</xdr:row>
                    <xdr:rowOff>25400</xdr:rowOff>
                  </from>
                  <to>
                    <xdr:col>0</xdr:col>
                    <xdr:colOff>266700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" name="Check Box 139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46</xdr:row>
                    <xdr:rowOff>25400</xdr:rowOff>
                  </from>
                  <to>
                    <xdr:col>0</xdr:col>
                    <xdr:colOff>254000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" name="Check Box 14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47</xdr:row>
                    <xdr:rowOff>25400</xdr:rowOff>
                  </from>
                  <to>
                    <xdr:col>0</xdr:col>
                    <xdr:colOff>254000</xdr:colOff>
                    <xdr:row>47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5" name="Check Box 14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48</xdr:row>
                    <xdr:rowOff>0</xdr:rowOff>
                  </from>
                  <to>
                    <xdr:col>0</xdr:col>
                    <xdr:colOff>266700</xdr:colOff>
                    <xdr:row>48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6" name="Check Box 14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49</xdr:row>
                    <xdr:rowOff>0</xdr:rowOff>
                  </from>
                  <to>
                    <xdr:col>0</xdr:col>
                    <xdr:colOff>292100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7" name="Check Box 143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50</xdr:row>
                    <xdr:rowOff>0</xdr:rowOff>
                  </from>
                  <to>
                    <xdr:col>0</xdr:col>
                    <xdr:colOff>292100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8" name="Check Box 14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51</xdr:row>
                    <xdr:rowOff>0</xdr:rowOff>
                  </from>
                  <to>
                    <xdr:col>0</xdr:col>
                    <xdr:colOff>254000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9" name="Check Box 14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52</xdr:row>
                    <xdr:rowOff>0</xdr:rowOff>
                  </from>
                  <to>
                    <xdr:col>0</xdr:col>
                    <xdr:colOff>292100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0" name="Check Box 146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25</xdr:row>
                    <xdr:rowOff>25400</xdr:rowOff>
                  </from>
                  <to>
                    <xdr:col>12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1" name="Check Box 147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26</xdr:row>
                    <xdr:rowOff>0</xdr:rowOff>
                  </from>
                  <to>
                    <xdr:col>12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2" name="Check Box 148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26</xdr:row>
                    <xdr:rowOff>177800</xdr:rowOff>
                  </from>
                  <to>
                    <xdr:col>12</xdr:col>
                    <xdr:colOff>330200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3" name="Check Box 149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27</xdr:row>
                    <xdr:rowOff>177800</xdr:rowOff>
                  </from>
                  <to>
                    <xdr:col>12</xdr:col>
                    <xdr:colOff>342900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Check Box 150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29</xdr:row>
                    <xdr:rowOff>0</xdr:rowOff>
                  </from>
                  <to>
                    <xdr:col>12</xdr:col>
                    <xdr:colOff>304800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Check Box 151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30</xdr:row>
                    <xdr:rowOff>0</xdr:rowOff>
                  </from>
                  <to>
                    <xdr:col>12</xdr:col>
                    <xdr:colOff>292100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Check Box 152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31</xdr:row>
                    <xdr:rowOff>0</xdr:rowOff>
                  </from>
                  <to>
                    <xdr:col>12</xdr:col>
                    <xdr:colOff>342900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7" name="Check Box 153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32</xdr:row>
                    <xdr:rowOff>25400</xdr:rowOff>
                  </from>
                  <to>
                    <xdr:col>12</xdr:col>
                    <xdr:colOff>330200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8" name="Check Box 154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45</xdr:row>
                    <xdr:rowOff>0</xdr:rowOff>
                  </from>
                  <to>
                    <xdr:col>12</xdr:col>
                    <xdr:colOff>368300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9" name="Check Box 155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46</xdr:row>
                    <xdr:rowOff>25400</xdr:rowOff>
                  </from>
                  <to>
                    <xdr:col>12</xdr:col>
                    <xdr:colOff>330200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0" name="Check Box 156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47</xdr:row>
                    <xdr:rowOff>0</xdr:rowOff>
                  </from>
                  <to>
                    <xdr:col>12</xdr:col>
                    <xdr:colOff>330200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1" name="Check Box 157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48</xdr:row>
                    <xdr:rowOff>0</xdr:rowOff>
                  </from>
                  <to>
                    <xdr:col>12</xdr:col>
                    <xdr:colOff>342900</xdr:colOff>
                    <xdr:row>48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2" name="Check Box 158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49</xdr:row>
                    <xdr:rowOff>25400</xdr:rowOff>
                  </from>
                  <to>
                    <xdr:col>12</xdr:col>
                    <xdr:colOff>368300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3" name="Check Box 159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50</xdr:row>
                    <xdr:rowOff>0</xdr:rowOff>
                  </from>
                  <to>
                    <xdr:col>12</xdr:col>
                    <xdr:colOff>368300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4" name="Check Box 160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51</xdr:row>
                    <xdr:rowOff>0</xdr:rowOff>
                  </from>
                  <to>
                    <xdr:col>12</xdr:col>
                    <xdr:colOff>330200</xdr:colOff>
                    <xdr:row>52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5" name="Check Box 161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52</xdr:row>
                    <xdr:rowOff>0</xdr:rowOff>
                  </from>
                  <to>
                    <xdr:col>12</xdr:col>
                    <xdr:colOff>330200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6" name="Check Box 183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177800</xdr:rowOff>
                  </from>
                  <to>
                    <xdr:col>0</xdr:col>
                    <xdr:colOff>292100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7" name="Check Box 18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33</xdr:row>
                    <xdr:rowOff>25400</xdr:rowOff>
                  </from>
                  <to>
                    <xdr:col>0</xdr:col>
                    <xdr:colOff>254000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8" name="Check Box 18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38100</xdr:rowOff>
                  </from>
                  <to>
                    <xdr:col>0</xdr:col>
                    <xdr:colOff>254000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9" name="Check Box 18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0</xdr:rowOff>
                  </from>
                  <to>
                    <xdr:col>0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0" name="Check Box 18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25400</xdr:rowOff>
                  </from>
                  <to>
                    <xdr:col>0</xdr:col>
                    <xdr:colOff>254000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1" name="Check Box 18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0</xdr:rowOff>
                  </from>
                  <to>
                    <xdr:col>0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2" name="Check Box 189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177800</xdr:rowOff>
                  </from>
                  <to>
                    <xdr:col>0</xdr:col>
                    <xdr:colOff>292100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3" name="Check Box 19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25400</xdr:rowOff>
                  </from>
                  <to>
                    <xdr:col>0</xdr:col>
                    <xdr:colOff>254000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4" name="Check Box 19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25400</xdr:rowOff>
                  </from>
                  <to>
                    <xdr:col>0</xdr:col>
                    <xdr:colOff>254000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5" name="Check Box 192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33</xdr:row>
                    <xdr:rowOff>25400</xdr:rowOff>
                  </from>
                  <to>
                    <xdr:col>12</xdr:col>
                    <xdr:colOff>304800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6" name="Check Box 193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34</xdr:row>
                    <xdr:rowOff>0</xdr:rowOff>
                  </from>
                  <to>
                    <xdr:col>12</xdr:col>
                    <xdr:colOff>304800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7" name="Check Box 194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34</xdr:row>
                    <xdr:rowOff>177800</xdr:rowOff>
                  </from>
                  <to>
                    <xdr:col>12</xdr:col>
                    <xdr:colOff>330200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8" name="Check Box 195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35</xdr:row>
                    <xdr:rowOff>177800</xdr:rowOff>
                  </from>
                  <to>
                    <xdr:col>12</xdr:col>
                    <xdr:colOff>342900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49" name="Check Box 196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37</xdr:row>
                    <xdr:rowOff>0</xdr:rowOff>
                  </from>
                  <to>
                    <xdr:col>12</xdr:col>
                    <xdr:colOff>304800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0" name="Check Box 197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38</xdr:row>
                    <xdr:rowOff>0</xdr:rowOff>
                  </from>
                  <to>
                    <xdr:col>12</xdr:col>
                    <xdr:colOff>292100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1" name="Check Box 198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39</xdr:row>
                    <xdr:rowOff>0</xdr:rowOff>
                  </from>
                  <to>
                    <xdr:col>12</xdr:col>
                    <xdr:colOff>342900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2" name="Check Box 199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40</xdr:row>
                    <xdr:rowOff>25400</xdr:rowOff>
                  </from>
                  <to>
                    <xdr:col>12</xdr:col>
                    <xdr:colOff>330200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3" name="Check Box 200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53</xdr:row>
                    <xdr:rowOff>0</xdr:rowOff>
                  </from>
                  <to>
                    <xdr:col>12</xdr:col>
                    <xdr:colOff>368300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4" name="Check Box 201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54</xdr:row>
                    <xdr:rowOff>25400</xdr:rowOff>
                  </from>
                  <to>
                    <xdr:col>12</xdr:col>
                    <xdr:colOff>330200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5" name="Check Box 202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55</xdr:row>
                    <xdr:rowOff>0</xdr:rowOff>
                  </from>
                  <to>
                    <xdr:col>12</xdr:col>
                    <xdr:colOff>330200</xdr:colOff>
                    <xdr:row>55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6" name="Check Box 203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56</xdr:row>
                    <xdr:rowOff>0</xdr:rowOff>
                  </from>
                  <to>
                    <xdr:col>12</xdr:col>
                    <xdr:colOff>342900</xdr:colOff>
                    <xdr:row>56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7" name="Check Box 204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57</xdr:row>
                    <xdr:rowOff>25400</xdr:rowOff>
                  </from>
                  <to>
                    <xdr:col>12</xdr:col>
                    <xdr:colOff>368300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8" name="Check Box 205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58</xdr:row>
                    <xdr:rowOff>0</xdr:rowOff>
                  </from>
                  <to>
                    <xdr:col>12</xdr:col>
                    <xdr:colOff>368300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59" name="Check Box 206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59</xdr:row>
                    <xdr:rowOff>0</xdr:rowOff>
                  </from>
                  <to>
                    <xdr:col>12</xdr:col>
                    <xdr:colOff>330200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0" name="Check Box 207">
              <controlPr locked="0" defaultSize="0" autoFill="0" autoLine="0" autoPict="0">
                <anchor moveWithCells="1">
                  <from>
                    <xdr:col>12</xdr:col>
                    <xdr:colOff>139700</xdr:colOff>
                    <xdr:row>60</xdr:row>
                    <xdr:rowOff>0</xdr:rowOff>
                  </from>
                  <to>
                    <xdr:col>12</xdr:col>
                    <xdr:colOff>330200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1" name="Check Box 20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53</xdr:row>
                    <xdr:rowOff>25400</xdr:rowOff>
                  </from>
                  <to>
                    <xdr:col>0</xdr:col>
                    <xdr:colOff>266700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2" name="Check Box 209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54</xdr:row>
                    <xdr:rowOff>25400</xdr:rowOff>
                  </from>
                  <to>
                    <xdr:col>0</xdr:col>
                    <xdr:colOff>254000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3" name="Check Box 21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55</xdr:row>
                    <xdr:rowOff>25400</xdr:rowOff>
                  </from>
                  <to>
                    <xdr:col>0</xdr:col>
                    <xdr:colOff>254000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4" name="Check Box 21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56</xdr:row>
                    <xdr:rowOff>0</xdr:rowOff>
                  </from>
                  <to>
                    <xdr:col>0</xdr:col>
                    <xdr:colOff>266700</xdr:colOff>
                    <xdr:row>56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5" name="Check Box 21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57</xdr:row>
                    <xdr:rowOff>0</xdr:rowOff>
                  </from>
                  <to>
                    <xdr:col>0</xdr:col>
                    <xdr:colOff>292100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6" name="Check Box 213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58</xdr:row>
                    <xdr:rowOff>0</xdr:rowOff>
                  </from>
                  <to>
                    <xdr:col>0</xdr:col>
                    <xdr:colOff>292100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7" name="Check Box 21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59</xdr:row>
                    <xdr:rowOff>0</xdr:rowOff>
                  </from>
                  <to>
                    <xdr:col>0</xdr:col>
                    <xdr:colOff>254000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8" name="Check Box 21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60</xdr:row>
                    <xdr:rowOff>0</xdr:rowOff>
                  </from>
                  <to>
                    <xdr:col>0</xdr:col>
                    <xdr:colOff>292100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9" name="Check Box 29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65</xdr:row>
                    <xdr:rowOff>0</xdr:rowOff>
                  </from>
                  <to>
                    <xdr:col>0</xdr:col>
                    <xdr:colOff>292100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70" name="Check Box 299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66</xdr:row>
                    <xdr:rowOff>0</xdr:rowOff>
                  </from>
                  <to>
                    <xdr:col>0</xdr:col>
                    <xdr:colOff>266700</xdr:colOff>
                    <xdr:row>66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71" name="Check Box 30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67</xdr:row>
                    <xdr:rowOff>25400</xdr:rowOff>
                  </from>
                  <to>
                    <xdr:col>0</xdr:col>
                    <xdr:colOff>266700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72" name="Check Box 30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68</xdr:row>
                    <xdr:rowOff>38100</xdr:rowOff>
                  </from>
                  <to>
                    <xdr:col>0</xdr:col>
                    <xdr:colOff>292100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3" name="Check Box 30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69</xdr:row>
                    <xdr:rowOff>0</xdr:rowOff>
                  </from>
                  <to>
                    <xdr:col>0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4" name="Check Box 303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71</xdr:row>
                    <xdr:rowOff>25400</xdr:rowOff>
                  </from>
                  <to>
                    <xdr:col>0</xdr:col>
                    <xdr:colOff>254000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75" name="Check Box 30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72</xdr:row>
                    <xdr:rowOff>25400</xdr:rowOff>
                  </from>
                  <to>
                    <xdr:col>0</xdr:col>
                    <xdr:colOff>254000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6" name="Check Box 30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70</xdr:row>
                    <xdr:rowOff>25400</xdr:rowOff>
                  </from>
                  <to>
                    <xdr:col>0</xdr:col>
                    <xdr:colOff>266700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7" name="Check Box 30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73</xdr:row>
                    <xdr:rowOff>0</xdr:rowOff>
                  </from>
                  <to>
                    <xdr:col>0</xdr:col>
                    <xdr:colOff>254000</xdr:colOff>
                    <xdr:row>74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8" name="Check Box 30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74</xdr:row>
                    <xdr:rowOff>0</xdr:rowOff>
                  </from>
                  <to>
                    <xdr:col>0</xdr:col>
                    <xdr:colOff>330200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9" name="Check Box 30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75</xdr:row>
                    <xdr:rowOff>25400</xdr:rowOff>
                  </from>
                  <to>
                    <xdr:col>0</xdr:col>
                    <xdr:colOff>330200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80" name="Check Box 309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76</xdr:row>
                    <xdr:rowOff>0</xdr:rowOff>
                  </from>
                  <to>
                    <xdr:col>0</xdr:col>
                    <xdr:colOff>292100</xdr:colOff>
                    <xdr:row>77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1" name="Check Box 31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77</xdr:row>
                    <xdr:rowOff>0</xdr:rowOff>
                  </from>
                  <to>
                    <xdr:col>0</xdr:col>
                    <xdr:colOff>330200</xdr:colOff>
                    <xdr:row>78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82" name="Check Box 31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78</xdr:row>
                    <xdr:rowOff>0</xdr:rowOff>
                  </from>
                  <to>
                    <xdr:col>0</xdr:col>
                    <xdr:colOff>292100</xdr:colOff>
                    <xdr:row>79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83" name="Check Box 31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79</xdr:row>
                    <xdr:rowOff>0</xdr:rowOff>
                  </from>
                  <to>
                    <xdr:col>0</xdr:col>
                    <xdr:colOff>304800</xdr:colOff>
                    <xdr:row>80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84" name="Check Box 313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80</xdr:row>
                    <xdr:rowOff>0</xdr:rowOff>
                  </from>
                  <to>
                    <xdr:col>0</xdr:col>
                    <xdr:colOff>292100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5" name="Check Box 314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65</xdr:row>
                    <xdr:rowOff>0</xdr:rowOff>
                  </from>
                  <to>
                    <xdr:col>12</xdr:col>
                    <xdr:colOff>292100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6" name="Check Box 315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66</xdr:row>
                    <xdr:rowOff>0</xdr:rowOff>
                  </from>
                  <to>
                    <xdr:col>12</xdr:col>
                    <xdr:colOff>266700</xdr:colOff>
                    <xdr:row>66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7" name="Check Box 316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66</xdr:row>
                    <xdr:rowOff>177800</xdr:rowOff>
                  </from>
                  <to>
                    <xdr:col>12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8" name="Check Box 317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68</xdr:row>
                    <xdr:rowOff>38100</xdr:rowOff>
                  </from>
                  <to>
                    <xdr:col>12</xdr:col>
                    <xdr:colOff>292100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9" name="Check Box 318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69</xdr:row>
                    <xdr:rowOff>0</xdr:rowOff>
                  </from>
                  <to>
                    <xdr:col>12</xdr:col>
                    <xdr:colOff>254000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90" name="Check Box 319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71</xdr:row>
                    <xdr:rowOff>25400</xdr:rowOff>
                  </from>
                  <to>
                    <xdr:col>12</xdr:col>
                    <xdr:colOff>254000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91" name="Check Box 320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72</xdr:row>
                    <xdr:rowOff>25400</xdr:rowOff>
                  </from>
                  <to>
                    <xdr:col>12</xdr:col>
                    <xdr:colOff>254000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92" name="Check Box 321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70</xdr:row>
                    <xdr:rowOff>25400</xdr:rowOff>
                  </from>
                  <to>
                    <xdr:col>12</xdr:col>
                    <xdr:colOff>266700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93" name="Check Box 322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73</xdr:row>
                    <xdr:rowOff>0</xdr:rowOff>
                  </from>
                  <to>
                    <xdr:col>12</xdr:col>
                    <xdr:colOff>254000</xdr:colOff>
                    <xdr:row>74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4" name="Check Box 323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74</xdr:row>
                    <xdr:rowOff>0</xdr:rowOff>
                  </from>
                  <to>
                    <xdr:col>12</xdr:col>
                    <xdr:colOff>330200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95" name="Check Box 324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75</xdr:row>
                    <xdr:rowOff>25400</xdr:rowOff>
                  </from>
                  <to>
                    <xdr:col>12</xdr:col>
                    <xdr:colOff>330200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96" name="Check Box 325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76</xdr:row>
                    <xdr:rowOff>0</xdr:rowOff>
                  </from>
                  <to>
                    <xdr:col>12</xdr:col>
                    <xdr:colOff>292100</xdr:colOff>
                    <xdr:row>77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7" name="Check Box 326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77</xdr:row>
                    <xdr:rowOff>0</xdr:rowOff>
                  </from>
                  <to>
                    <xdr:col>12</xdr:col>
                    <xdr:colOff>330200</xdr:colOff>
                    <xdr:row>78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98" name="Check Box 327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78</xdr:row>
                    <xdr:rowOff>0</xdr:rowOff>
                  </from>
                  <to>
                    <xdr:col>12</xdr:col>
                    <xdr:colOff>292100</xdr:colOff>
                    <xdr:row>79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99" name="Check Box 328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79</xdr:row>
                    <xdr:rowOff>0</xdr:rowOff>
                  </from>
                  <to>
                    <xdr:col>12</xdr:col>
                    <xdr:colOff>304800</xdr:colOff>
                    <xdr:row>80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00" name="Check Box 329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80</xdr:row>
                    <xdr:rowOff>0</xdr:rowOff>
                  </from>
                  <to>
                    <xdr:col>12</xdr:col>
                    <xdr:colOff>292100</xdr:colOff>
                    <xdr:row>81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6463-B021-4722-B90E-761311A5BA22}">
  <sheetPr>
    <tabColor theme="4" tint="0.59999389629810485"/>
  </sheetPr>
  <dimension ref="A1:T93"/>
  <sheetViews>
    <sheetView zoomScale="70" zoomScaleNormal="70" workbookViewId="0">
      <selection activeCell="C8" sqref="C8"/>
    </sheetView>
  </sheetViews>
  <sheetFormatPr defaultColWidth="9.08984375" defaultRowHeight="14.5"/>
  <cols>
    <col min="1" max="1" width="29.54296875" bestFit="1" customWidth="1"/>
    <col min="2" max="8" width="15.7265625" customWidth="1"/>
    <col min="9" max="9" width="12.26953125" hidden="1" customWidth="1"/>
    <col min="10" max="10" width="8.81640625" hidden="1" customWidth="1"/>
    <col min="14" max="14" width="10.54296875" bestFit="1" customWidth="1"/>
    <col min="15" max="15" width="11" customWidth="1"/>
    <col min="18" max="18" width="11.26953125" bestFit="1" customWidth="1"/>
    <col min="19" max="19" width="12.08984375" bestFit="1" customWidth="1"/>
  </cols>
  <sheetData>
    <row r="1" spans="1:15">
      <c r="A1" t="s">
        <v>203</v>
      </c>
      <c r="B1" s="266">
        <v>0</v>
      </c>
    </row>
    <row r="2" spans="1:15">
      <c r="A2" t="s">
        <v>204</v>
      </c>
      <c r="B2" s="266">
        <v>0</v>
      </c>
    </row>
    <row r="3" spans="1:15">
      <c r="A3" t="s">
        <v>149</v>
      </c>
      <c r="B3" s="266">
        <v>0</v>
      </c>
      <c r="N3" s="1" t="s">
        <v>179</v>
      </c>
    </row>
    <row r="4" spans="1:15">
      <c r="A4" t="s">
        <v>152</v>
      </c>
      <c r="B4" s="267">
        <v>0</v>
      </c>
      <c r="N4" s="268" t="s">
        <v>180</v>
      </c>
      <c r="O4" t="s">
        <v>181</v>
      </c>
    </row>
    <row r="5" spans="1:15">
      <c r="B5" s="269"/>
      <c r="N5" s="268" t="s">
        <v>184</v>
      </c>
      <c r="O5" t="s">
        <v>182</v>
      </c>
    </row>
    <row r="6" spans="1:15">
      <c r="N6" s="268" t="s">
        <v>185</v>
      </c>
      <c r="O6" t="s">
        <v>202</v>
      </c>
    </row>
    <row r="7" spans="1:15">
      <c r="B7" s="198" t="s">
        <v>155</v>
      </c>
      <c r="C7" s="198" t="s">
        <v>4</v>
      </c>
      <c r="D7" s="198" t="s">
        <v>5</v>
      </c>
      <c r="E7" s="198" t="s">
        <v>52</v>
      </c>
      <c r="F7" s="198" t="s">
        <v>47</v>
      </c>
      <c r="G7" s="198" t="s">
        <v>48</v>
      </c>
      <c r="H7" s="198" t="s">
        <v>97</v>
      </c>
      <c r="N7" s="268" t="s">
        <v>186</v>
      </c>
      <c r="O7" t="s">
        <v>207</v>
      </c>
    </row>
    <row r="8" spans="1:15">
      <c r="A8" s="253">
        <f>IF('Salary Worksheet'!I6="y",'Salary Worksheet'!B6,0)</f>
        <v>0</v>
      </c>
      <c r="B8" s="198" t="s">
        <v>142</v>
      </c>
      <c r="C8" s="200">
        <v>0</v>
      </c>
      <c r="D8" s="200">
        <v>0</v>
      </c>
      <c r="E8" s="200">
        <v>0</v>
      </c>
      <c r="F8" s="200">
        <v>0</v>
      </c>
      <c r="G8" s="200">
        <v>0</v>
      </c>
      <c r="H8" s="200">
        <v>0</v>
      </c>
      <c r="N8" s="268" t="s">
        <v>187</v>
      </c>
      <c r="O8" t="s">
        <v>183</v>
      </c>
    </row>
    <row r="9" spans="1:15">
      <c r="B9" s="198" t="s">
        <v>107</v>
      </c>
      <c r="C9" s="200">
        <v>0</v>
      </c>
      <c r="D9" s="200">
        <v>0</v>
      </c>
      <c r="E9" s="200">
        <v>0</v>
      </c>
      <c r="F9" s="200">
        <v>0</v>
      </c>
      <c r="G9" s="200">
        <v>0</v>
      </c>
      <c r="H9" s="200">
        <v>0</v>
      </c>
      <c r="N9" s="268" t="s">
        <v>208</v>
      </c>
      <c r="O9" t="s">
        <v>201</v>
      </c>
    </row>
    <row r="11" spans="1:15">
      <c r="B11" s="198" t="s">
        <v>156</v>
      </c>
      <c r="C11" s="198" t="s">
        <v>4</v>
      </c>
      <c r="D11" s="198" t="s">
        <v>5</v>
      </c>
      <c r="E11" s="198" t="s">
        <v>52</v>
      </c>
      <c r="F11" s="198" t="s">
        <v>47</v>
      </c>
      <c r="G11" s="198" t="s">
        <v>48</v>
      </c>
      <c r="H11" s="198" t="s">
        <v>97</v>
      </c>
      <c r="I11" t="s">
        <v>151</v>
      </c>
    </row>
    <row r="12" spans="1:15">
      <c r="B12" s="198" t="s">
        <v>160</v>
      </c>
      <c r="C12" s="269">
        <f>IF(AND('Salary Worksheet'!$I6="y",$B$3&gt;0,C8&gt;0,$B$4=0),$I12*$B$3,IF(AND('Salary Worksheet'!$I6="y",$B$4&gt;0,C8&gt;0,$B$3=0),$B$4,0))</f>
        <v>0</v>
      </c>
      <c r="D12" s="269">
        <f>IF(AND('Salary Worksheet'!$I6="y",$B$3&gt;0,D8&gt;0,$B$4=0),(1+$B$1)*$I12*$B$3,IF(AND('Salary Worksheet'!$I6="y",$B$4&gt;0,D8&gt;0,$B$3=0),(1+$B$1)*$B$4,0))</f>
        <v>0</v>
      </c>
      <c r="E12" s="269">
        <f>IF(AND('Salary Worksheet'!$I6="y",$B$3&gt;0,E8&gt;0,$B$4=0),(1+$B$1)^2*$I12*$B$3,IF(AND('Salary Worksheet'!$I6="y",$B$4&gt;0,E8&gt;0,$B$3=0),(1+$B$1)^2*$B$4,0))</f>
        <v>0</v>
      </c>
      <c r="F12" s="269">
        <f>IF(AND('Salary Worksheet'!$I6="y",$B$3&gt;0,F8&gt;0,$B$4=0),(1+$B$1)^3*$I12*$B$3,IF(AND('Salary Worksheet'!$I6="y",$B$4&gt;0,F8&gt;0,$B$3=0),(1+$B$1)^3*$B$4,0))</f>
        <v>0</v>
      </c>
      <c r="G12" s="269">
        <f>IF(AND('Salary Worksheet'!$I6="y",$B$3&gt;0,G8&gt;0,$B$4=0),(1+$B$1)^4*$I12*$B$3,IF(AND('Salary Worksheet'!$I6="y",$B$4&gt;0,G8&gt;0,$B$3=0),(1+$B$1)^4*$B$4,0))</f>
        <v>0</v>
      </c>
      <c r="H12" s="269">
        <f>IF(AND('Salary Worksheet'!$I6="y",$B$3&gt;0,H8&gt;0,$B$4=0),(1+$B$1)^5*$I12*$B$3,IF(AND('Salary Worksheet'!$I6="y",$B$4&gt;0,H8&gt;0,$B$3=0),(1+$B$1)^5*$B$4,0))</f>
        <v>0</v>
      </c>
      <c r="I12" s="269">
        <f>IF(A8='Salary Worksheet'!B6,IF('Salary Worksheet'!D6=9,'Salary Worksheet'!K6/19.5*9.7,IF('Salary Worksheet'!D6=12,'Salary Worksheet'!K6/26.1*9.7,0)),0)</f>
        <v>0</v>
      </c>
      <c r="J12" t="e">
        <f>B$4/I12</f>
        <v>#DIV/0!</v>
      </c>
    </row>
    <row r="13" spans="1:15">
      <c r="B13" s="198" t="s">
        <v>22</v>
      </c>
      <c r="C13" s="269">
        <f>IF('Salary Worksheet'!$I6="y",C12*'Salary Worksheet'!$K$3,0)</f>
        <v>0</v>
      </c>
      <c r="D13" s="269">
        <f>IF('Salary Worksheet'!$I6="y",(1+$B$2)*D12*'Salary Worksheet'!$K$3,0)</f>
        <v>0</v>
      </c>
      <c r="E13" s="269">
        <f>IF('Salary Worksheet'!$I6="y",(1+$B$2)^2*E12*'Salary Worksheet'!$K$3,0)</f>
        <v>0</v>
      </c>
      <c r="F13" s="269">
        <f>IF('Salary Worksheet'!$I6="y",(1+$B$2)^3*F12*'Salary Worksheet'!$K$3,0)</f>
        <v>0</v>
      </c>
      <c r="G13" s="269">
        <f>IF('Salary Worksheet'!$I6="y",(1+$B$2)^4*G12*'Salary Worksheet'!$K$3,0)</f>
        <v>0</v>
      </c>
      <c r="H13" s="269">
        <f>IF('Salary Worksheet'!$I6="y",(1+$B$2)^5*H12*'Salary Worksheet'!$K$3,0)</f>
        <v>0</v>
      </c>
      <c r="I13" s="269">
        <f>I12*'Salary Worksheet'!K$3</f>
        <v>0</v>
      </c>
    </row>
    <row r="14" spans="1:15">
      <c r="B14" s="198" t="s">
        <v>68</v>
      </c>
      <c r="C14" s="269">
        <f t="shared" ref="C14:H14" si="0">SUM(C12:C13)</f>
        <v>0</v>
      </c>
      <c r="D14" s="269">
        <f t="shared" si="0"/>
        <v>0</v>
      </c>
      <c r="E14" s="269">
        <f t="shared" si="0"/>
        <v>0</v>
      </c>
      <c r="F14" s="269">
        <f t="shared" si="0"/>
        <v>0</v>
      </c>
      <c r="G14" s="269">
        <f t="shared" si="0"/>
        <v>0</v>
      </c>
      <c r="H14" s="269">
        <f t="shared" si="0"/>
        <v>0</v>
      </c>
      <c r="I14" s="269">
        <f>IF(AND(A8='Salary Worksheet'!B6,A9&lt;&gt;""),'Salary Worksheet'!W$9/2*9.7,0)</f>
        <v>0</v>
      </c>
    </row>
    <row r="15" spans="1:15">
      <c r="B15" s="198"/>
      <c r="C15" s="198"/>
      <c r="D15" s="198"/>
      <c r="E15" s="198"/>
      <c r="F15" s="198"/>
      <c r="G15" s="198"/>
      <c r="H15" s="198"/>
      <c r="I15" s="199"/>
      <c r="N15" s="269"/>
    </row>
    <row r="16" spans="1:15">
      <c r="B16" s="198" t="s">
        <v>161</v>
      </c>
      <c r="C16" s="269">
        <f>IF(AND('Salary Worksheet'!$I6="y",$B$3&gt;0,C9&gt;0,$B$4=0),$I16*$B$3,IF(AND('Salary Worksheet'!$I6="y",$B$4&gt;0,C9&gt;0,$B$3=0),$B$4,0))</f>
        <v>0</v>
      </c>
      <c r="D16" s="269">
        <f>IF(AND('Salary Worksheet'!$I6="y",$B$3&gt;0,D9&gt;0,$B$4=0),(1+$B$1)*$I16*$B$3,IF(AND('Salary Worksheet'!$I6="y",$B$4&gt;0,D9&gt;0,$B$3=0),(1+$B$1)*$B$4,0))</f>
        <v>0</v>
      </c>
      <c r="E16" s="269">
        <f>IF(AND('Salary Worksheet'!$I6="y",$B$3&gt;0,E9&gt;0,$B$4=0),(1+$B$1)^2*$I16*$B$3,IF(AND('Salary Worksheet'!$I6="y",$B$4&gt;0,E9&gt;0,$B$3=0),(1+$B$1)^2*$B$4,0))</f>
        <v>0</v>
      </c>
      <c r="F16" s="269">
        <f>IF(AND('Salary Worksheet'!$I6="y",$B$3&gt;0,F9&gt;0,$B$4=0),(1+$B$1)^3*$I16*$B$3,IF(AND('Salary Worksheet'!$I6="y",$B$4&gt;0,F9&gt;0,$B$3=0),(1+$B$1)^3*$B$4,0))</f>
        <v>0</v>
      </c>
      <c r="G16" s="269">
        <f>IF(AND('Salary Worksheet'!$I6="y",$B$3&gt;0,G9&gt;0,$B$4=0),(1+$B$1)^4*$I16*$B$3,IF(AND('Salary Worksheet'!$I6="y",$B$4&gt;0,G9&gt;0,$B$3=0),(1+$B$1)^4*$B$4,0))</f>
        <v>0</v>
      </c>
      <c r="H16" s="269">
        <f>IF(AND('Salary Worksheet'!$I6="y",$B$3&gt;0,H9&gt;0,$B$4=0),(1+$B$1)^5*$I16*$B$3,IF(AND('Salary Worksheet'!$I6="y",$B$4&gt;0,H9&gt;0,$B$3=0),(1+$B$1)^5*$B$4,0))</f>
        <v>0</v>
      </c>
      <c r="I16" s="269">
        <f>IF(A8='Salary Worksheet'!B6,IF('Salary Worksheet'!D6=9,'Salary Worksheet'!K6/19.5*9.8,IF('Salary Worksheet'!D6=12,'Salary Worksheet'!K6/26.1*9.8,0)),0)</f>
        <v>0</v>
      </c>
      <c r="J16" t="e">
        <f>B$4/I16</f>
        <v>#DIV/0!</v>
      </c>
      <c r="N16" s="269"/>
    </row>
    <row r="17" spans="1:20">
      <c r="B17" s="198" t="s">
        <v>22</v>
      </c>
      <c r="C17" s="269">
        <f>IF('Salary Worksheet'!$I6="y",C16*'Salary Worksheet'!$K$3,0)</f>
        <v>0</v>
      </c>
      <c r="D17" s="269">
        <f>IF('Salary Worksheet'!$I6="y",(1+$B$2)*D16*'Salary Worksheet'!$K$3,0)</f>
        <v>0</v>
      </c>
      <c r="E17" s="269">
        <f>IF('Salary Worksheet'!$I6="y",(1+$B$2)^2*E16*'Salary Worksheet'!$K$3,0)</f>
        <v>0</v>
      </c>
      <c r="F17" s="269">
        <f>IF('Salary Worksheet'!$I6="y",(1+$B$2)^3*F16*'Salary Worksheet'!$K$3,0)</f>
        <v>0</v>
      </c>
      <c r="G17" s="269">
        <f>IF('Salary Worksheet'!$I6="y",(1+$B$2)^4*G16*'Salary Worksheet'!$K$3,0)</f>
        <v>0</v>
      </c>
      <c r="H17" s="269">
        <f>IF('Salary Worksheet'!$I6="y",(1+$B$2)^5*H16*'Salary Worksheet'!$K$3,0)</f>
        <v>0</v>
      </c>
      <c r="I17" s="269">
        <f>I16*'Salary Worksheet'!K$3</f>
        <v>0</v>
      </c>
    </row>
    <row r="18" spans="1:20">
      <c r="B18" s="198" t="s">
        <v>68</v>
      </c>
      <c r="C18" s="269">
        <f t="shared" ref="C18:H18" si="1">SUM(C16:C17)</f>
        <v>0</v>
      </c>
      <c r="D18" s="269">
        <f t="shared" si="1"/>
        <v>0</v>
      </c>
      <c r="E18" s="269">
        <f t="shared" si="1"/>
        <v>0</v>
      </c>
      <c r="F18" s="269">
        <f t="shared" si="1"/>
        <v>0</v>
      </c>
      <c r="G18" s="269">
        <f t="shared" si="1"/>
        <v>0</v>
      </c>
      <c r="H18" s="269">
        <f t="shared" si="1"/>
        <v>0</v>
      </c>
      <c r="I18" s="269">
        <f>IF(AND(A8='Salary Worksheet'!B6,A9&lt;&gt;""),'Salary Worksheet'!W$9/2*9.8,0)</f>
        <v>0</v>
      </c>
    </row>
    <row r="19" spans="1:20">
      <c r="D19" s="269"/>
    </row>
    <row r="20" spans="1:20">
      <c r="D20" s="269"/>
    </row>
    <row r="21" spans="1:20">
      <c r="B21" s="198" t="s">
        <v>155</v>
      </c>
      <c r="C21" s="198" t="s">
        <v>4</v>
      </c>
      <c r="D21" s="198" t="s">
        <v>5</v>
      </c>
      <c r="E21" s="198" t="s">
        <v>52</v>
      </c>
      <c r="F21" s="198" t="s">
        <v>47</v>
      </c>
      <c r="G21" s="198" t="s">
        <v>48</v>
      </c>
      <c r="H21" s="198" t="s">
        <v>97</v>
      </c>
    </row>
    <row r="22" spans="1:20">
      <c r="A22" s="253">
        <f>IF('Salary Worksheet'!I7="y",'Salary Worksheet'!B7,0)</f>
        <v>0</v>
      </c>
      <c r="B22" s="198" t="s">
        <v>142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  <c r="H22" s="200">
        <v>0</v>
      </c>
      <c r="R22" s="269"/>
    </row>
    <row r="23" spans="1:20">
      <c r="B23" s="198" t="s">
        <v>107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  <c r="H23" s="200">
        <v>0</v>
      </c>
    </row>
    <row r="25" spans="1:20">
      <c r="B25" s="198" t="s">
        <v>156</v>
      </c>
      <c r="C25" s="198" t="s">
        <v>4</v>
      </c>
      <c r="D25" s="198" t="s">
        <v>5</v>
      </c>
      <c r="E25" s="198" t="s">
        <v>52</v>
      </c>
      <c r="F25" s="198" t="s">
        <v>47</v>
      </c>
      <c r="G25" s="198" t="s">
        <v>48</v>
      </c>
      <c r="H25" s="198" t="s">
        <v>97</v>
      </c>
      <c r="I25" t="s">
        <v>151</v>
      </c>
    </row>
    <row r="26" spans="1:20">
      <c r="B26" s="198" t="s">
        <v>160</v>
      </c>
      <c r="C26" s="269">
        <f>IF(AND('Salary Worksheet'!$I7="y",$B$3&gt;0,C22&gt;0,$B$4=0),$I26*$B$3,IF(AND('Salary Worksheet'!$I7="y",$B$4&gt;0,C22&gt;0,$B$3=0),$B$4,0))</f>
        <v>0</v>
      </c>
      <c r="D26" s="269">
        <f>IF(AND('Salary Worksheet'!$I7="y",$B$3&gt;0,D22&gt;0,$B$4=0),(1+$B$1)*$I26*$B$3,IF(AND('Salary Worksheet'!$I7="y",$B$4&gt;0,D22&gt;0,$B$3=0),(1+$B$1)*$B$4,0))</f>
        <v>0</v>
      </c>
      <c r="E26" s="269">
        <f>IF(AND('Salary Worksheet'!$I7="y",$B$3&gt;0,E22&gt;0,$B$4=0),(1+$B$1)^2*$I26*$B$3,IF(AND('Salary Worksheet'!$I7="y",$B$4&gt;0,E22&gt;0,$B$3=0),(1+$B$1)^2*$B$4,0))</f>
        <v>0</v>
      </c>
      <c r="F26" s="269">
        <f>IF(AND('Salary Worksheet'!$I7="y",$B$3&gt;0,F22&gt;0,$B$4=0),(1+$B$1)^3*$I26*$B$3,IF(AND('Salary Worksheet'!$I7="y",$B$4&gt;0,F22&gt;0,$B$3=0),(1+$B$1)^3*$B$4,0))</f>
        <v>0</v>
      </c>
      <c r="G26" s="269">
        <f>IF(AND('Salary Worksheet'!$I7="y",$B$3&gt;0,G22&gt;0,$B$4=0),(1+$B$1)^4*$I26*$B$3,IF(AND('Salary Worksheet'!$I7="y",$B$4&gt;0,G22&gt;0,$B$3=0),(1+$B$1)^4*$B$4,0))</f>
        <v>0</v>
      </c>
      <c r="H26" s="269">
        <f>IF(AND('Salary Worksheet'!$I7="y",$B$3&gt;0,H22&gt;0,$B$4=0),(1+$B$1)^5*$I26*$B$3,IF(AND('Salary Worksheet'!$I7="y",$B$4&gt;0,H22&gt;0,$B$3=0),(1+$B$1)^5*$B$4,0))</f>
        <v>0</v>
      </c>
      <c r="I26" s="269">
        <f>IF(A22='Salary Worksheet'!B7,IF('Salary Worksheet'!D7=9,'Salary Worksheet'!K7/19.5*9.7,IF('Salary Worksheet'!D7=12,'Salary Worksheet'!K7/26.1*9.7,0)),0)</f>
        <v>0</v>
      </c>
      <c r="J26" t="e">
        <f>B$4/I26</f>
        <v>#DIV/0!</v>
      </c>
      <c r="S26" s="270"/>
      <c r="T26" s="270"/>
    </row>
    <row r="27" spans="1:20">
      <c r="B27" s="198" t="s">
        <v>22</v>
      </c>
      <c r="C27" s="269">
        <f>IF('Salary Worksheet'!$I$7="y",C26*'Salary Worksheet'!$K$3,0)</f>
        <v>0</v>
      </c>
      <c r="D27" s="269">
        <f>IF('Salary Worksheet'!$I$7="y",(1+$B$2)*D26*'Salary Worksheet'!$K$3,0)</f>
        <v>0</v>
      </c>
      <c r="E27" s="269">
        <f>IF('Salary Worksheet'!$I$7="y",(1+$B$2)^2*E26*'Salary Worksheet'!$K$3,0)</f>
        <v>0</v>
      </c>
      <c r="F27" s="269">
        <f>IF('Salary Worksheet'!$I$7="y",(1+$B$2)^3*F26*'Salary Worksheet'!$K$3,0)</f>
        <v>0</v>
      </c>
      <c r="G27" s="269">
        <f>IF('Salary Worksheet'!$I$7="y",(1+$B$2)^4*G26*'Salary Worksheet'!$K$3,0)</f>
        <v>0</v>
      </c>
      <c r="H27" s="269">
        <f>IF('Salary Worksheet'!$I$7="y",(1+$B$2)^5*H26*'Salary Worksheet'!$K$3,0)</f>
        <v>0</v>
      </c>
      <c r="I27" s="269">
        <f>I26*'Salary Worksheet'!K$3</f>
        <v>0</v>
      </c>
    </row>
    <row r="28" spans="1:20">
      <c r="B28" s="198" t="s">
        <v>68</v>
      </c>
      <c r="C28" s="269">
        <f t="shared" ref="C28:H28" si="2">SUM(C26:C27)</f>
        <v>0</v>
      </c>
      <c r="D28" s="269">
        <f t="shared" si="2"/>
        <v>0</v>
      </c>
      <c r="E28" s="269">
        <f t="shared" si="2"/>
        <v>0</v>
      </c>
      <c r="F28" s="269">
        <f t="shared" si="2"/>
        <v>0</v>
      </c>
      <c r="G28" s="269">
        <f t="shared" si="2"/>
        <v>0</v>
      </c>
      <c r="H28" s="269">
        <f t="shared" si="2"/>
        <v>0</v>
      </c>
      <c r="I28" s="269">
        <f>IF(AND(A22='Salary Worksheet'!B7,A23&lt;&gt;""),'Salary Worksheet'!W$9/2*9.7,0)</f>
        <v>0</v>
      </c>
      <c r="O28" s="269"/>
    </row>
    <row r="29" spans="1:20">
      <c r="B29" s="198"/>
      <c r="C29" s="198"/>
      <c r="D29" s="198"/>
      <c r="E29" s="198"/>
      <c r="F29" s="198"/>
      <c r="G29" s="198"/>
      <c r="H29" s="198"/>
      <c r="I29" s="199"/>
      <c r="N29" s="269"/>
    </row>
    <row r="30" spans="1:20">
      <c r="B30" s="198" t="s">
        <v>161</v>
      </c>
      <c r="C30" s="269">
        <f>IF(AND('Salary Worksheet'!$I7="y",$B$3&gt;0,C23&gt;0,$B$4=0),$I30*$B$3,IF(AND('Salary Worksheet'!$I7="y",$B$4&gt;0,C23&gt;0,$B$3=0),$B$4,0))</f>
        <v>0</v>
      </c>
      <c r="D30" s="269">
        <f>IF(AND('Salary Worksheet'!$I7="y",$B$3&gt;0,D23&gt;0,$B$4=0),(1+$B$1)*$I30*$B$3,IF(AND('Salary Worksheet'!$I7="y",$B$4&gt;0,D23&gt;0,$B$3=0),(1+$B$1)*$B$4,0))</f>
        <v>0</v>
      </c>
      <c r="E30" s="269">
        <f>IF(AND('Salary Worksheet'!$I7="y",$B$3&gt;0,E23&gt;0,$B$4=0),(1+$B$1)^2*$I30*$B$3,IF(AND('Salary Worksheet'!$I7="y",$B$4&gt;0,E23&gt;0,$B$3=0),(1+$B$1)^2*$B$4,0))</f>
        <v>0</v>
      </c>
      <c r="F30" s="269">
        <f>IF(AND('Salary Worksheet'!$I7="y",$B$3&gt;0,F23&gt;0,$B$4=0),(1+$B$1)^3*$I30*$B$3,IF(AND('Salary Worksheet'!$I7="y",$B$4&gt;0,F23&gt;0,$B$3=0),(1+$B$1)^3*$B$4,0))</f>
        <v>0</v>
      </c>
      <c r="G30" s="269">
        <f>IF(AND('Salary Worksheet'!$I7="y",$B$3&gt;0,G23&gt;0,$B$4=0),(1+$B$1)^4*$I30*$B$3,IF(AND('Salary Worksheet'!$I7="y",$B$4&gt;0,G23&gt;0,$B$3=0),(1+$B$1)^4*$B$4,0))</f>
        <v>0</v>
      </c>
      <c r="H30" s="269">
        <f>IF(AND('Salary Worksheet'!$I7="y",$B$3&gt;0,H23&gt;0,$B$4=0),(1+$B$1)^5*$I30*$B$3,IF(AND('Salary Worksheet'!$I7="y",$B$4&gt;0,H23&gt;0,$B$3=0),(1+$B$1)^5*$B$4,0))</f>
        <v>0</v>
      </c>
      <c r="I30" s="269">
        <f>IF(A22='Salary Worksheet'!B7,IF('Salary Worksheet'!D7=9,'Salary Worksheet'!K7/19.5*9.8,IF('Salary Worksheet'!D7=12,'Salary Worksheet'!K7/26.1*9.8,0)),0)</f>
        <v>0</v>
      </c>
      <c r="J30" t="e">
        <f>B$4/I30</f>
        <v>#DIV/0!</v>
      </c>
      <c r="N30" s="269"/>
      <c r="R30" s="269"/>
      <c r="S30" s="269"/>
    </row>
    <row r="31" spans="1:20">
      <c r="B31" s="198" t="s">
        <v>22</v>
      </c>
      <c r="C31" s="269">
        <f>IF('Salary Worksheet'!$I$7="y",C30*'Salary Worksheet'!$K$3,0)</f>
        <v>0</v>
      </c>
      <c r="D31" s="269">
        <f>IF('Salary Worksheet'!$I$7="y",(1+$B$2)*D30*'Salary Worksheet'!$K$3,0)</f>
        <v>0</v>
      </c>
      <c r="E31" s="269">
        <f>IF('Salary Worksheet'!$I$7="y",(1+$B$2)^2*E30*'Salary Worksheet'!$K$3,0)</f>
        <v>0</v>
      </c>
      <c r="F31" s="269">
        <f>IF('Salary Worksheet'!$I$7="y",(1+$B$2)^3*F30*'Salary Worksheet'!$K$3,0)</f>
        <v>0</v>
      </c>
      <c r="G31" s="269">
        <f>IF('Salary Worksheet'!$I$7="y",(1+$B$2)^4*G30*'Salary Worksheet'!$K$3,0)</f>
        <v>0</v>
      </c>
      <c r="H31" s="269">
        <f>IF('Salary Worksheet'!$I$7="y",(1+$B$2)^5*H30*'Salary Worksheet'!$K$3,0)</f>
        <v>0</v>
      </c>
      <c r="I31" s="269">
        <f>I30*'Salary Worksheet'!K$3</f>
        <v>0</v>
      </c>
      <c r="R31" s="269"/>
      <c r="S31" s="269"/>
      <c r="T31" s="269"/>
    </row>
    <row r="32" spans="1:20">
      <c r="B32" s="198" t="s">
        <v>68</v>
      </c>
      <c r="C32" s="269">
        <f t="shared" ref="C32:H32" si="3">SUM(C30:C31)</f>
        <v>0</v>
      </c>
      <c r="D32" s="269">
        <f t="shared" si="3"/>
        <v>0</v>
      </c>
      <c r="E32" s="269">
        <f t="shared" si="3"/>
        <v>0</v>
      </c>
      <c r="F32" s="269">
        <f t="shared" si="3"/>
        <v>0</v>
      </c>
      <c r="G32" s="269">
        <f t="shared" si="3"/>
        <v>0</v>
      </c>
      <c r="H32" s="269">
        <f t="shared" si="3"/>
        <v>0</v>
      </c>
      <c r="I32" s="269">
        <f>IF(AND(A22='Salary Worksheet'!B7,A23&lt;&gt;""),'Salary Worksheet'!W$9/2*9.8,0)</f>
        <v>0</v>
      </c>
    </row>
    <row r="35" spans="1:19">
      <c r="B35" s="198" t="s">
        <v>155</v>
      </c>
      <c r="C35" s="198" t="s">
        <v>4</v>
      </c>
      <c r="D35" s="198" t="s">
        <v>5</v>
      </c>
      <c r="E35" s="198" t="s">
        <v>52</v>
      </c>
      <c r="F35" s="198" t="s">
        <v>47</v>
      </c>
      <c r="G35" s="198" t="s">
        <v>48</v>
      </c>
      <c r="H35" s="198" t="s">
        <v>97</v>
      </c>
      <c r="S35" s="269"/>
    </row>
    <row r="36" spans="1:19">
      <c r="A36" s="253">
        <f>IF('Salary Worksheet'!I8="y",'Salary Worksheet'!B8,0)</f>
        <v>0</v>
      </c>
      <c r="B36" s="198" t="s">
        <v>142</v>
      </c>
      <c r="C36" s="200">
        <v>0</v>
      </c>
      <c r="D36" s="200">
        <v>0</v>
      </c>
      <c r="E36" s="200">
        <v>0</v>
      </c>
      <c r="F36" s="200">
        <v>0</v>
      </c>
      <c r="G36" s="200">
        <v>0</v>
      </c>
      <c r="H36" s="200">
        <v>0</v>
      </c>
      <c r="P36" s="269"/>
    </row>
    <row r="37" spans="1:19">
      <c r="B37" s="198" t="s">
        <v>107</v>
      </c>
      <c r="C37" s="200">
        <v>0</v>
      </c>
      <c r="D37" s="200">
        <v>0</v>
      </c>
      <c r="E37" s="200">
        <v>0</v>
      </c>
      <c r="F37" s="200">
        <v>0</v>
      </c>
      <c r="G37" s="200">
        <v>0</v>
      </c>
      <c r="H37" s="200">
        <v>0</v>
      </c>
    </row>
    <row r="39" spans="1:19">
      <c r="B39" s="198" t="s">
        <v>156</v>
      </c>
      <c r="C39" s="198" t="s">
        <v>4</v>
      </c>
      <c r="D39" s="198" t="s">
        <v>5</v>
      </c>
      <c r="E39" s="198" t="s">
        <v>52</v>
      </c>
      <c r="F39" s="198" t="s">
        <v>47</v>
      </c>
      <c r="G39" s="198" t="s">
        <v>48</v>
      </c>
      <c r="H39" s="198" t="s">
        <v>97</v>
      </c>
      <c r="I39" t="s">
        <v>151</v>
      </c>
    </row>
    <row r="40" spans="1:19">
      <c r="B40" s="198" t="s">
        <v>160</v>
      </c>
      <c r="C40" s="269">
        <f>IF(AND('Salary Worksheet'!$I8="y",$B$3&gt;0,C36&gt;0,$B$4=0),$I40*$B$3,IF(AND('Salary Worksheet'!$I8="y",$B$4&gt;0,C36&gt;0,$B$3=0),$B$4,0))</f>
        <v>0</v>
      </c>
      <c r="D40" s="269">
        <f>IF(AND('Salary Worksheet'!$I8="y",$B$3&gt;0,D36&gt;0,$B$4=0),(1+$B$1)*$I40*$B$3,IF(AND('Salary Worksheet'!$I8="y",$B$4&gt;0,D36&gt;0,$B$3=0),(1+$B$1)*$B$4,0))</f>
        <v>0</v>
      </c>
      <c r="E40" s="269">
        <f>IF(AND('Salary Worksheet'!$I8="y",$B$3&gt;0,E36&gt;0,$B$4=0),(1+$B$1)^2*$I40*$B$3,IF(AND('Salary Worksheet'!$I8="y",$B$4&gt;0,E36&gt;0,$B$3=0),(1+$B$1)^2*$B$4,0))</f>
        <v>0</v>
      </c>
      <c r="F40" s="269">
        <f>IF(AND('Salary Worksheet'!$I8="y",$B$3&gt;0,F36&gt;0,$B$4=0),(1+$B$1)^3*$I40*$B$3,IF(AND('Salary Worksheet'!$I8="y",$B$4&gt;0,F36&gt;0,$B$3=0),(1+$B$1)^3*$B$4,0))</f>
        <v>0</v>
      </c>
      <c r="G40" s="269">
        <f>IF(AND('Salary Worksheet'!$I8="y",$B$3&gt;0,G36&gt;0,$B$4=0),(1+$B$1)^4*$I40*$B$3,IF(AND('Salary Worksheet'!$I8="y",$B$4&gt;0,G36&gt;0,$B$3=0),(1+$B$1)^4*$B$4,0))</f>
        <v>0</v>
      </c>
      <c r="H40" s="269">
        <f>IF(AND('Salary Worksheet'!$I8="y",$B$3&gt;0,H36&gt;0,$B$4=0),(1+$B$1)^5*$I40*$B$3,IF(AND('Salary Worksheet'!$I8="y",$B$4&gt;0,H36&gt;0,$B$3=0),(1+$B$1)^5*$B$4,0))</f>
        <v>0</v>
      </c>
      <c r="I40" s="269">
        <f>IF(A36='Salary Worksheet'!B8,IF('Salary Worksheet'!D8=9,'Salary Worksheet'!K8/19.5*9.7,IF('Salary Worksheet'!D8=12,'Salary Worksheet'!K8/26.1*9.7,0)),0)</f>
        <v>0</v>
      </c>
      <c r="J40" t="e">
        <f>B$4/I40</f>
        <v>#DIV/0!</v>
      </c>
    </row>
    <row r="41" spans="1:19">
      <c r="B41" s="198" t="s">
        <v>22</v>
      </c>
      <c r="C41" s="269">
        <f>IF('Salary Worksheet'!$I$8="y",C40*'Salary Worksheet'!$K$3,0)</f>
        <v>0</v>
      </c>
      <c r="D41" s="269">
        <f>IF('Salary Worksheet'!$I$8="y",(1+$B$2)*D40*'Salary Worksheet'!$K$3,0)</f>
        <v>0</v>
      </c>
      <c r="E41" s="269">
        <f>IF('Salary Worksheet'!$I$8="y",(1+$B$2)^2*E40*'Salary Worksheet'!$K$3,0)</f>
        <v>0</v>
      </c>
      <c r="F41" s="269">
        <f>IF('Salary Worksheet'!$I$8="y",(1+$B$2)^3*F40*'Salary Worksheet'!$K$3,0)</f>
        <v>0</v>
      </c>
      <c r="G41" s="269">
        <f>IF('Salary Worksheet'!$I$8="y",(1+$B$2)^4*G40*'Salary Worksheet'!$K$3,0)</f>
        <v>0</v>
      </c>
      <c r="H41" s="269">
        <f>IF('Salary Worksheet'!$I$8="y",(1+$B$2)^5*H40*'Salary Worksheet'!$K$3,0)</f>
        <v>0</v>
      </c>
      <c r="I41" s="269">
        <f>I40*'Salary Worksheet'!K$3</f>
        <v>0</v>
      </c>
    </row>
    <row r="42" spans="1:19">
      <c r="B42" s="198" t="s">
        <v>68</v>
      </c>
      <c r="C42" s="269">
        <f t="shared" ref="C42:H42" si="4">SUM(C40:C41)</f>
        <v>0</v>
      </c>
      <c r="D42" s="269">
        <f t="shared" si="4"/>
        <v>0</v>
      </c>
      <c r="E42" s="269">
        <f t="shared" si="4"/>
        <v>0</v>
      </c>
      <c r="F42" s="269">
        <f t="shared" si="4"/>
        <v>0</v>
      </c>
      <c r="G42" s="269">
        <f t="shared" si="4"/>
        <v>0</v>
      </c>
      <c r="H42" s="269">
        <f t="shared" si="4"/>
        <v>0</v>
      </c>
      <c r="I42" s="269">
        <f>IF(AND(A36='Salary Worksheet'!B8,A37&lt;&gt;""),'Salary Worksheet'!W$9/2*9.7,0)</f>
        <v>0</v>
      </c>
    </row>
    <row r="43" spans="1:19">
      <c r="B43" s="198"/>
      <c r="C43" s="198"/>
      <c r="D43" s="198"/>
      <c r="E43" s="198"/>
      <c r="F43" s="198"/>
      <c r="G43" s="198"/>
      <c r="H43" s="198"/>
      <c r="I43" s="199"/>
      <c r="N43" s="269"/>
    </row>
    <row r="44" spans="1:19">
      <c r="B44" s="198" t="s">
        <v>161</v>
      </c>
      <c r="C44" s="269">
        <f>IF(AND('Salary Worksheet'!$I8="y",$B$3&gt;0,C37&gt;0,$B$4=0),$I44*$B$3,IF(AND('Salary Worksheet'!$I8="y",$B$4&gt;0,C37&gt;0,$B$3=0),$B$4,0))</f>
        <v>0</v>
      </c>
      <c r="D44" s="269">
        <f>IF(AND('Salary Worksheet'!$I8="y",$B$3&gt;0,D37&gt;0,$B$4=0),(1+$B$1)*$I44*$B$3,IF(AND('Salary Worksheet'!$I8="y",$B$4&gt;0,D37&gt;0,$B$3=0),(1+$B$1)*$B$4,0))</f>
        <v>0</v>
      </c>
      <c r="E44" s="269">
        <f>IF(AND('Salary Worksheet'!$I8="y",$B$3&gt;0,E37&gt;0,$B$4=0),(1+$B$1)^2*$I44*$B$3,IF(AND('Salary Worksheet'!$I8="y",$B$4&gt;0,E37&gt;0,$B$3=0),(1+$B$1)^2*$B$4,0))</f>
        <v>0</v>
      </c>
      <c r="F44" s="269">
        <f>IF(AND('Salary Worksheet'!$I8="y",$B$3&gt;0,F37&gt;0,$B$4=0),(1+$B$1)^3*$I44*$B$3,IF(AND('Salary Worksheet'!$I8="y",$B$4&gt;0,F37&gt;0,$B$3=0),(1+$B$1)^3*$B$4,0))</f>
        <v>0</v>
      </c>
      <c r="G44" s="269">
        <f>IF(AND('Salary Worksheet'!$I8="y",$B$3&gt;0,G37&gt;0,$B$4=0),(1+$B$1)^4*$I44*$B$3,IF(AND('Salary Worksheet'!$I8="y",$B$4&gt;0,G37&gt;0,$B$3=0),(1+$B$1)^4*$B$4,0))</f>
        <v>0</v>
      </c>
      <c r="H44" s="269">
        <f>IF(AND('Salary Worksheet'!$I8="y",$B$3&gt;0,H37&gt;0,$B$4=0),(1+$B$1)^5*$I44*$B$3,IF(AND('Salary Worksheet'!$I8="y",$B$4&gt;0,H37&gt;0,$B$3=0),(1+$B$1)^5*$B$4,0))</f>
        <v>0</v>
      </c>
      <c r="I44" s="269">
        <f>IF(A36='Salary Worksheet'!B8,IF('Salary Worksheet'!D8=9,'Salary Worksheet'!K8/19.5*9.8,IF('Salary Worksheet'!D8=12,'Salary Worksheet'!K8/26.1*9.8,0)),0)</f>
        <v>0</v>
      </c>
      <c r="J44" t="e">
        <f>B$4/I44</f>
        <v>#DIV/0!</v>
      </c>
      <c r="N44" s="269"/>
    </row>
    <row r="45" spans="1:19">
      <c r="B45" s="198" t="s">
        <v>22</v>
      </c>
      <c r="C45" s="269">
        <f>IF('Salary Worksheet'!$I$8="y",C44*'Salary Worksheet'!$K$3,0)</f>
        <v>0</v>
      </c>
      <c r="D45" s="269">
        <f>IF('Salary Worksheet'!$I$8="y",(1+$B$2)*D44*'Salary Worksheet'!$K$3,0)</f>
        <v>0</v>
      </c>
      <c r="E45" s="269">
        <f>IF('Salary Worksheet'!$I$8="y",(1+$B$2)^2*E44*'Salary Worksheet'!$K$3,0)</f>
        <v>0</v>
      </c>
      <c r="F45" s="269">
        <f>IF('Salary Worksheet'!$I$8="y",(1+$B$2)^3*F44*'Salary Worksheet'!$K$3,0)</f>
        <v>0</v>
      </c>
      <c r="G45" s="269">
        <f>IF('Salary Worksheet'!$I$8="y",(1+$B$2)^4*G44*'Salary Worksheet'!$K$3,0)</f>
        <v>0</v>
      </c>
      <c r="H45" s="269">
        <f>IF('Salary Worksheet'!$I$8="y",(1+$B$2)^5*H44*'Salary Worksheet'!$K$3,0)</f>
        <v>0</v>
      </c>
      <c r="I45" s="269">
        <f>I44*'Salary Worksheet'!K$3</f>
        <v>0</v>
      </c>
    </row>
    <row r="46" spans="1:19">
      <c r="B46" s="198" t="s">
        <v>68</v>
      </c>
      <c r="C46" s="269">
        <f t="shared" ref="C46:H46" si="5">SUM(C44:C45)</f>
        <v>0</v>
      </c>
      <c r="D46" s="269">
        <f t="shared" si="5"/>
        <v>0</v>
      </c>
      <c r="E46" s="269">
        <f t="shared" si="5"/>
        <v>0</v>
      </c>
      <c r="F46" s="269">
        <f t="shared" si="5"/>
        <v>0</v>
      </c>
      <c r="G46" s="269">
        <f t="shared" si="5"/>
        <v>0</v>
      </c>
      <c r="H46" s="269">
        <f t="shared" si="5"/>
        <v>0</v>
      </c>
      <c r="I46" s="269">
        <f>IF(AND(A36='Salary Worksheet'!B8,A37&lt;&gt;""),'Salary Worksheet'!W$9/2*9.8,0)</f>
        <v>0</v>
      </c>
    </row>
    <row r="49" spans="1:14">
      <c r="B49" s="198" t="s">
        <v>155</v>
      </c>
      <c r="C49" s="198" t="s">
        <v>4</v>
      </c>
      <c r="D49" s="198" t="s">
        <v>5</v>
      </c>
      <c r="E49" s="198" t="s">
        <v>52</v>
      </c>
      <c r="F49" s="198" t="s">
        <v>47</v>
      </c>
      <c r="G49" s="198" t="s">
        <v>48</v>
      </c>
      <c r="H49" s="198" t="s">
        <v>97</v>
      </c>
    </row>
    <row r="50" spans="1:14">
      <c r="A50" s="253">
        <f>IF('Salary Worksheet'!I9="y",'Salary Worksheet'!B9,0)</f>
        <v>0</v>
      </c>
      <c r="B50" s="198" t="s">
        <v>142</v>
      </c>
      <c r="C50" s="200">
        <v>0</v>
      </c>
      <c r="D50" s="200">
        <v>0</v>
      </c>
      <c r="E50" s="200">
        <v>0</v>
      </c>
      <c r="F50" s="200">
        <v>0</v>
      </c>
      <c r="G50" s="200">
        <v>0</v>
      </c>
      <c r="H50" s="200">
        <v>0</v>
      </c>
    </row>
    <row r="51" spans="1:14">
      <c r="B51" s="198" t="s">
        <v>107</v>
      </c>
      <c r="C51" s="200">
        <v>0</v>
      </c>
      <c r="D51" s="200">
        <v>0</v>
      </c>
      <c r="E51" s="200">
        <v>0</v>
      </c>
      <c r="F51" s="200">
        <v>0</v>
      </c>
      <c r="G51" s="200">
        <v>0</v>
      </c>
      <c r="H51" s="200">
        <v>0</v>
      </c>
    </row>
    <row r="53" spans="1:14">
      <c r="B53" s="198" t="s">
        <v>156</v>
      </c>
      <c r="C53" s="198" t="s">
        <v>4</v>
      </c>
      <c r="D53" s="198" t="s">
        <v>5</v>
      </c>
      <c r="E53" s="198" t="s">
        <v>52</v>
      </c>
      <c r="F53" s="198" t="s">
        <v>47</v>
      </c>
      <c r="G53" s="198" t="s">
        <v>48</v>
      </c>
      <c r="H53" s="198" t="s">
        <v>97</v>
      </c>
      <c r="I53" t="s">
        <v>151</v>
      </c>
    </row>
    <row r="54" spans="1:14">
      <c r="B54" s="198" t="s">
        <v>160</v>
      </c>
      <c r="C54" s="269">
        <f>IF(AND('Salary Worksheet'!$I9="y",$B$3&gt;0,C50&gt;0,$B$4=0),$I54*$B$3,IF(AND('Salary Worksheet'!$I9="y",$B$4&gt;0,C50&gt;0,$B$3=0),$B$4,0))</f>
        <v>0</v>
      </c>
      <c r="D54" s="269">
        <f>IF(AND('Salary Worksheet'!$I9="y",$B$3&gt;0,D50&gt;0,$B$4=0),(1+$B$1)*$I54*$B$3,IF(AND('Salary Worksheet'!$I9="y",$B$4&gt;0,D50&gt;0,$B$3=0),(1+$B$1)*$B$4,0))</f>
        <v>0</v>
      </c>
      <c r="E54" s="269">
        <f>IF(AND('Salary Worksheet'!$I9="y",$B$3&gt;0,E50&gt;0,$B$4=0),(1+$B$1)^2*$I54*$B$3,IF(AND('Salary Worksheet'!$I9="y",$B$4&gt;0,E50&gt;0,$B$3=0),(1+$B$1)^2*$B$4,0))</f>
        <v>0</v>
      </c>
      <c r="F54" s="269">
        <f>IF(AND('Salary Worksheet'!$I9="y",$B$3&gt;0,F50&gt;0,$B$4=0),(1+$B$1)^3*$I54*$B$3,IF(AND('Salary Worksheet'!$I9="y",$B$4&gt;0,F50&gt;0,$B$3=0),(1+$B$1)^3*$B$4,0))</f>
        <v>0</v>
      </c>
      <c r="G54" s="269">
        <f>IF(AND('Salary Worksheet'!$I9="y",$B$3&gt;0,G50&gt;0,$B$4=0),(1+$B$1)^4*$I54*$B$3,IF(AND('Salary Worksheet'!$I9="y",$B$4&gt;0,G50&gt;0,$B$3=0),(1+$B$1)^4*$B$4,0))</f>
        <v>0</v>
      </c>
      <c r="H54" s="269">
        <f>IF(AND('Salary Worksheet'!$I9="y",$B$3&gt;0,H50&gt;0,$B$4=0),(1+$B$1)^5*$I54*$B$3,IF(AND('Salary Worksheet'!$I9="y",$B$4&gt;0,H50&gt;0,$B$3=0),(1+$B$1)^5*$B$4,0))</f>
        <v>0</v>
      </c>
      <c r="I54" s="269">
        <f>IF(A50='Salary Worksheet'!B9,IF('Salary Worksheet'!D9=9,'Salary Worksheet'!K9/19.5*9.7,IF('Salary Worksheet'!D9=12,'Salary Worksheet'!K9/26.1*9.7,0)),0)</f>
        <v>0</v>
      </c>
      <c r="J54" t="e">
        <f>B$4/I54</f>
        <v>#DIV/0!</v>
      </c>
    </row>
    <row r="55" spans="1:14">
      <c r="B55" s="198" t="s">
        <v>22</v>
      </c>
      <c r="C55" s="269">
        <f>IF('Salary Worksheet'!$I$9="y",C54*'Salary Worksheet'!$K$3,0)</f>
        <v>0</v>
      </c>
      <c r="D55" s="269">
        <f>IF('Salary Worksheet'!$I$9="y",(1+$B$2)*D54*'Salary Worksheet'!$K$3,0)</f>
        <v>0</v>
      </c>
      <c r="E55" s="269">
        <f>IF('Salary Worksheet'!$I$9="y",(1+$B$2)^2*E54*'Salary Worksheet'!$K$3,0)</f>
        <v>0</v>
      </c>
      <c r="F55" s="269">
        <f>IF('Salary Worksheet'!$I$9="y",(1+$B$2)^3*F54*'Salary Worksheet'!$K$3,0)</f>
        <v>0</v>
      </c>
      <c r="G55" s="269">
        <f>IF('Salary Worksheet'!$I$9="y",(1+$B$2)^4*G54*'Salary Worksheet'!$K$3,0)</f>
        <v>0</v>
      </c>
      <c r="H55" s="269">
        <f>IF('Salary Worksheet'!$I$9="y",(1+$B$2)^5*H54*'Salary Worksheet'!$K$3,0)</f>
        <v>0</v>
      </c>
      <c r="I55" s="269">
        <f>I54*'Salary Worksheet'!K$3</f>
        <v>0</v>
      </c>
    </row>
    <row r="56" spans="1:14">
      <c r="B56" s="198" t="s">
        <v>68</v>
      </c>
      <c r="C56" s="269">
        <f t="shared" ref="C56:H56" si="6">SUM(C54:C55)</f>
        <v>0</v>
      </c>
      <c r="D56" s="269">
        <f t="shared" si="6"/>
        <v>0</v>
      </c>
      <c r="E56" s="269">
        <f t="shared" si="6"/>
        <v>0</v>
      </c>
      <c r="F56" s="269">
        <f t="shared" si="6"/>
        <v>0</v>
      </c>
      <c r="G56" s="269">
        <f t="shared" si="6"/>
        <v>0</v>
      </c>
      <c r="H56" s="269">
        <f t="shared" si="6"/>
        <v>0</v>
      </c>
      <c r="I56" s="269">
        <f>IF(AND(A50='Salary Worksheet'!B9,A51&lt;&gt;""),'Salary Worksheet'!W$9/2*9.7,0)</f>
        <v>0</v>
      </c>
    </row>
    <row r="57" spans="1:14">
      <c r="B57" s="198"/>
      <c r="C57" s="198"/>
      <c r="D57" s="198"/>
      <c r="E57" s="198"/>
      <c r="F57" s="198"/>
      <c r="G57" s="198"/>
      <c r="H57" s="198"/>
      <c r="I57" s="199"/>
      <c r="N57" s="269"/>
    </row>
    <row r="58" spans="1:14">
      <c r="B58" s="198" t="s">
        <v>161</v>
      </c>
      <c r="C58" s="269">
        <f>IF(AND('Salary Worksheet'!$I9="y",$B$3&gt;0,C51&gt;0,$B$4=0),$I58*$B$3,IF(AND('Salary Worksheet'!$I9="y",$B$4&gt;0,C51&gt;0,$B$3=0),$B$4,0))</f>
        <v>0</v>
      </c>
      <c r="D58" s="269">
        <f>IF(AND('Salary Worksheet'!$I9="y",$B$3&gt;0,D51&gt;0,$B$4=0),(1+$B$1)*$I58*$B$3,IF(AND('Salary Worksheet'!$I9="y",$B$4&gt;0,D51&gt;0,$B$3=0),(1+$B$1)*$B$4,0))</f>
        <v>0</v>
      </c>
      <c r="E58" s="269">
        <f>IF(AND('Salary Worksheet'!$I9="y",$B$3&gt;0,E51&gt;0,$B$4=0),(1+$B$1)^2*$I58*$B$3,IF(AND('Salary Worksheet'!$I9="y",$B$4&gt;0,E51&gt;0,$B$3=0),(1+$B$1)^2*$B$4,0))</f>
        <v>0</v>
      </c>
      <c r="F58" s="269">
        <f>IF(AND('Salary Worksheet'!$I9="y",$B$3&gt;0,F51&gt;0,$B$4=0),(1+$B$1)^3*$I58*$B$3,IF(AND('Salary Worksheet'!$I9="y",$B$4&gt;0,F51&gt;0,$B$3=0),(1+$B$1)^3*$B$4,0))</f>
        <v>0</v>
      </c>
      <c r="G58" s="269">
        <f>IF(AND('Salary Worksheet'!$I9="y",$B$3&gt;0,G51&gt;0,$B$4=0),(1+$B$1)^4*$I58*$B$3,IF(AND('Salary Worksheet'!$I9="y",$B$4&gt;0,G51&gt;0,$B$3=0),(1+$B$1)^4*$B$4,0))</f>
        <v>0</v>
      </c>
      <c r="H58" s="269">
        <f>IF(AND('Salary Worksheet'!$I9="y",$B$3&gt;0,H51&gt;0,$B$4=0),(1+$B$1)^5*$I58*$B$3,IF(AND('Salary Worksheet'!$I9="y",$B$4&gt;0,H51&gt;0,$B$3=0),(1+$B$1)^5*$B$4,0))</f>
        <v>0</v>
      </c>
      <c r="I58" s="269">
        <f>IF(A50='Salary Worksheet'!B9,IF('Salary Worksheet'!D9=9,'Salary Worksheet'!K9/19.5*9.8,IF('Salary Worksheet'!D9=12,'Salary Worksheet'!K9/26.1*9.8,0)),0)</f>
        <v>0</v>
      </c>
      <c r="J58" t="e">
        <f>B$4/I58</f>
        <v>#DIV/0!</v>
      </c>
      <c r="N58" s="269"/>
    </row>
    <row r="59" spans="1:14">
      <c r="B59" s="198" t="s">
        <v>22</v>
      </c>
      <c r="C59" s="269">
        <f>IF('Salary Worksheet'!$I$9="y",C58*'Salary Worksheet'!$K$3,0)</f>
        <v>0</v>
      </c>
      <c r="D59" s="269">
        <f>IF('Salary Worksheet'!$I$9="y",(1+$B$2)*D58*'Salary Worksheet'!$K$3,0)</f>
        <v>0</v>
      </c>
      <c r="E59" s="269">
        <f>IF('Salary Worksheet'!$I$9="y",(1+$B$2)^2*E58*'Salary Worksheet'!$K$3,0)</f>
        <v>0</v>
      </c>
      <c r="F59" s="269">
        <f>IF('Salary Worksheet'!$I$9="y",(1+$B$2)^3*F58*'Salary Worksheet'!$K$3,0)</f>
        <v>0</v>
      </c>
      <c r="G59" s="269">
        <f>IF('Salary Worksheet'!$I$9="y",(1+$B$2)^4*G58*'Salary Worksheet'!$K$3,0)</f>
        <v>0</v>
      </c>
      <c r="H59" s="269">
        <f>IF('Salary Worksheet'!$I$9="y",(1+$B$2)^5*H58*'Salary Worksheet'!$K$3,0)</f>
        <v>0</v>
      </c>
      <c r="I59" s="269">
        <f>I58*'Salary Worksheet'!K$3</f>
        <v>0</v>
      </c>
    </row>
    <row r="60" spans="1:14">
      <c r="B60" s="198" t="s">
        <v>68</v>
      </c>
      <c r="C60" s="269">
        <f t="shared" ref="C60:H60" si="7">SUM(C58:C59)</f>
        <v>0</v>
      </c>
      <c r="D60" s="269">
        <f t="shared" si="7"/>
        <v>0</v>
      </c>
      <c r="E60" s="269">
        <f t="shared" si="7"/>
        <v>0</v>
      </c>
      <c r="F60" s="269">
        <f t="shared" si="7"/>
        <v>0</v>
      </c>
      <c r="G60" s="269">
        <f t="shared" si="7"/>
        <v>0</v>
      </c>
      <c r="H60" s="269">
        <f t="shared" si="7"/>
        <v>0</v>
      </c>
      <c r="I60" s="269">
        <f>IF(AND(A50='Salary Worksheet'!B9,A51&lt;&gt;""),'Salary Worksheet'!W$9/2*9.8,0)</f>
        <v>0</v>
      </c>
    </row>
    <row r="63" spans="1:14">
      <c r="B63" s="198" t="s">
        <v>155</v>
      </c>
      <c r="C63" s="198" t="s">
        <v>4</v>
      </c>
      <c r="D63" s="198" t="s">
        <v>5</v>
      </c>
      <c r="E63" s="198" t="s">
        <v>52</v>
      </c>
      <c r="F63" s="198" t="s">
        <v>47</v>
      </c>
      <c r="G63" s="198" t="s">
        <v>48</v>
      </c>
      <c r="H63" s="198" t="s">
        <v>97</v>
      </c>
    </row>
    <row r="64" spans="1:14">
      <c r="A64" s="253">
        <f>IF('Salary Worksheet'!I10="y",'Salary Worksheet'!B10,0)</f>
        <v>0</v>
      </c>
      <c r="B64" s="198" t="s">
        <v>142</v>
      </c>
      <c r="C64" s="200">
        <v>0</v>
      </c>
      <c r="D64" s="200">
        <v>0</v>
      </c>
      <c r="E64" s="200">
        <v>0</v>
      </c>
      <c r="F64" s="200">
        <v>0</v>
      </c>
      <c r="G64" s="200">
        <v>0</v>
      </c>
      <c r="H64" s="200">
        <v>0</v>
      </c>
    </row>
    <row r="65" spans="1:14">
      <c r="B65" s="198" t="s">
        <v>107</v>
      </c>
      <c r="C65" s="200">
        <v>0</v>
      </c>
      <c r="D65" s="200">
        <v>0</v>
      </c>
      <c r="E65" s="200">
        <v>0</v>
      </c>
      <c r="F65" s="200">
        <v>0</v>
      </c>
      <c r="G65" s="200">
        <v>0</v>
      </c>
      <c r="H65" s="200">
        <v>0</v>
      </c>
    </row>
    <row r="67" spans="1:14">
      <c r="B67" s="198" t="s">
        <v>156</v>
      </c>
      <c r="C67" s="198" t="s">
        <v>4</v>
      </c>
      <c r="D67" s="198" t="s">
        <v>5</v>
      </c>
      <c r="E67" s="198" t="s">
        <v>52</v>
      </c>
      <c r="F67" s="198" t="s">
        <v>47</v>
      </c>
      <c r="G67" s="198" t="s">
        <v>48</v>
      </c>
      <c r="H67" s="198" t="s">
        <v>97</v>
      </c>
      <c r="I67" t="s">
        <v>151</v>
      </c>
    </row>
    <row r="68" spans="1:14">
      <c r="B68" s="198" t="s">
        <v>160</v>
      </c>
      <c r="C68" s="269">
        <f>IF(AND('Salary Worksheet'!$I10="y",$B$3&gt;0,C64&gt;0,$B$4=0),$I68*$B$3,IF(AND('Salary Worksheet'!$I10="y",$B$4&gt;0,C64&gt;0,$B$3=0),$B$4,0))</f>
        <v>0</v>
      </c>
      <c r="D68" s="269">
        <f>IF(AND('Salary Worksheet'!$I10="y",$B$3&gt;0,D64&gt;0,$B$4=0),(1+$B$1)*$I68*$B$3,IF(AND('Salary Worksheet'!$I10="y",$B$4&gt;0,D64&gt;0,$B$3=0),(1+$B$1)*$B$4,0))</f>
        <v>0</v>
      </c>
      <c r="E68" s="269">
        <f>IF(AND('Salary Worksheet'!$I10="y",$B$3&gt;0,E64&gt;0,$B$4=0),(1+$B$1)^2*$I68*$B$3,IF(AND('Salary Worksheet'!$I10="y",$B$4&gt;0,E64&gt;0,$B$3=0),(1+$B$1)^2*$B$4,0))</f>
        <v>0</v>
      </c>
      <c r="F68" s="269">
        <f>IF(AND('Salary Worksheet'!$I10="y",$B$3&gt;0,F64&gt;0,$B$4=0),(1+$B$1)^3*$I68*$B$3,IF(AND('Salary Worksheet'!$I10="y",$B$4&gt;0,F64&gt;0,$B$3=0),(1+$B$1)^3*$B$4,0))</f>
        <v>0</v>
      </c>
      <c r="G68" s="269">
        <f>IF(AND('Salary Worksheet'!$I10="y",$B$3&gt;0,G64&gt;0,$B$4=0),(1+$B$1)^4*$I68*$B$3,IF(AND('Salary Worksheet'!$I10="y",$B$4&gt;0,G64&gt;0,$B$3=0),(1+$B$1)^4*$B$4,0))</f>
        <v>0</v>
      </c>
      <c r="H68" s="269">
        <f>IF(AND('Salary Worksheet'!$I10="y",$B$3&gt;0,H64&gt;0,$B$4=0),(1+$B$1)^5*$I68*$B$3,IF(AND('Salary Worksheet'!$I10="y",$B$4&gt;0,H64&gt;0,$B$3=0),(1+$B$1)^5*$B$4,0))</f>
        <v>0</v>
      </c>
      <c r="I68" s="269">
        <f>IF(A64='Salary Worksheet'!B10,IF('Salary Worksheet'!D10=9,'Salary Worksheet'!K10/19.5*9.7,IF('Salary Worksheet'!D10=12,'Salary Worksheet'!K10/26.1*9.7,0)),0)</f>
        <v>0</v>
      </c>
      <c r="J68" t="e">
        <f>B$4/I68</f>
        <v>#DIV/0!</v>
      </c>
    </row>
    <row r="69" spans="1:14">
      <c r="B69" s="198" t="s">
        <v>22</v>
      </c>
      <c r="C69" s="269">
        <f>IF('Salary Worksheet'!$I$10="y",C68*'Salary Worksheet'!$K$3,0)</f>
        <v>0</v>
      </c>
      <c r="D69" s="269">
        <f>IF('Salary Worksheet'!$I$10="y",(1+$B$2)*D68*'Salary Worksheet'!$K$3,0)</f>
        <v>0</v>
      </c>
      <c r="E69" s="269">
        <f>IF('Salary Worksheet'!$I$10="y",(1+$B$2)^2*E68*'Salary Worksheet'!$K$3,0)</f>
        <v>0</v>
      </c>
      <c r="F69" s="269">
        <f>IF('Salary Worksheet'!$I$10="y",(1+$B$2)^3*F68*'Salary Worksheet'!$K$3,0)</f>
        <v>0</v>
      </c>
      <c r="G69" s="269">
        <f>IF('Salary Worksheet'!$I$10="y",(1+$B$2)^4*G68*'Salary Worksheet'!$K$3,0)</f>
        <v>0</v>
      </c>
      <c r="H69" s="269">
        <f>IF('Salary Worksheet'!$I$10="y",(1+$B$2)^5*H68*'Salary Worksheet'!$K$3,0)</f>
        <v>0</v>
      </c>
      <c r="I69" s="269">
        <f>I68*'Salary Worksheet'!K$3</f>
        <v>0</v>
      </c>
    </row>
    <row r="70" spans="1:14">
      <c r="B70" s="198" t="s">
        <v>68</v>
      </c>
      <c r="C70" s="269">
        <f t="shared" ref="C70:H70" si="8">SUM(C68:C69)</f>
        <v>0</v>
      </c>
      <c r="D70" s="269">
        <f t="shared" si="8"/>
        <v>0</v>
      </c>
      <c r="E70" s="269">
        <f t="shared" si="8"/>
        <v>0</v>
      </c>
      <c r="F70" s="269">
        <f t="shared" si="8"/>
        <v>0</v>
      </c>
      <c r="G70" s="269">
        <f t="shared" si="8"/>
        <v>0</v>
      </c>
      <c r="H70" s="269">
        <f t="shared" si="8"/>
        <v>0</v>
      </c>
      <c r="I70" s="269">
        <f>IF(AND(A64='Salary Worksheet'!B10,A65&lt;&gt;""),'Salary Worksheet'!W$9/2*9.7,0)</f>
        <v>0</v>
      </c>
    </row>
    <row r="71" spans="1:14">
      <c r="B71" s="198"/>
      <c r="C71" s="198"/>
      <c r="D71" s="198"/>
      <c r="E71" s="198"/>
      <c r="F71" s="198"/>
      <c r="G71" s="198"/>
      <c r="H71" s="198"/>
      <c r="I71" s="199"/>
      <c r="N71" s="269"/>
    </row>
    <row r="72" spans="1:14">
      <c r="B72" s="198" t="s">
        <v>161</v>
      </c>
      <c r="C72" s="269">
        <f>IF(AND('Salary Worksheet'!$I10="y",$B$3&gt;0,C65&gt;0,$B$4=0),$I72*$B$3,IF(AND('Salary Worksheet'!$I10="y",$B$4&gt;0,C65&gt;0,$B$3=0),$B$4,0))</f>
        <v>0</v>
      </c>
      <c r="D72" s="269">
        <f>IF(AND('Salary Worksheet'!$I10="y",$B$3&gt;0,D65&gt;0,$B$4=0),(1+$B$1)*$I72*$B$3,IF(AND('Salary Worksheet'!$I10="y",$B$4&gt;0,D65&gt;0,$B$3=0),(1+$B$1)*$B$4,0))</f>
        <v>0</v>
      </c>
      <c r="E72" s="269">
        <f>IF(AND('Salary Worksheet'!$I10="y",$B$3&gt;0,E65&gt;0,$B$4=0),(1+$B$1)^2*$I72*$B$3,IF(AND('Salary Worksheet'!$I10="y",$B$4&gt;0,E65&gt;0,$B$3=0),(1+$B$1)^2*$B$4,0))</f>
        <v>0</v>
      </c>
      <c r="F72" s="269">
        <f>IF(AND('Salary Worksheet'!$I10="y",$B$3&gt;0,F65&gt;0,$B$4=0),(1+$B$1)^3*$I72*$B$3,IF(AND('Salary Worksheet'!$I10="y",$B$4&gt;0,F65&gt;0,$B$3=0),(1+$B$1)^3*$B$4,0))</f>
        <v>0</v>
      </c>
      <c r="G72" s="269">
        <f>IF(AND('Salary Worksheet'!$I10="y",$B$3&gt;0,G65&gt;0,$B$4=0),(1+$B$1)^4*$I72*$B$3,IF(AND('Salary Worksheet'!$I10="y",$B$4&gt;0,G65&gt;0,$B$3=0),(1+$B$1)^4*$B$4,0))</f>
        <v>0</v>
      </c>
      <c r="H72" s="269">
        <f>IF(AND('Salary Worksheet'!$I10="y",$B$3&gt;0,H65&gt;0,$B$4=0),(1+$B$1)^5*$I72*$B$3,IF(AND('Salary Worksheet'!$I10="y",$B$4&gt;0,H65&gt;0,$B$3=0),(1+$B$1)^5*$B$4,0))</f>
        <v>0</v>
      </c>
      <c r="I72" s="269">
        <f>IF(A64='Salary Worksheet'!B10,IF('Salary Worksheet'!D10=9,'Salary Worksheet'!K10/19.5*9.8,IF('Salary Worksheet'!D10=12,'Salary Worksheet'!K10/26.1*9.8,0)),0)</f>
        <v>0</v>
      </c>
      <c r="J72" t="e">
        <f>B$4/I72</f>
        <v>#DIV/0!</v>
      </c>
      <c r="N72" s="269"/>
    </row>
    <row r="73" spans="1:14">
      <c r="B73" s="198" t="s">
        <v>22</v>
      </c>
      <c r="C73" s="269">
        <f>IF('Salary Worksheet'!$I$10="y",C72*'Salary Worksheet'!$K$3,0)</f>
        <v>0</v>
      </c>
      <c r="D73" s="269">
        <f>IF('Salary Worksheet'!$I$10="y",(1+$B$2)*D72*'Salary Worksheet'!$K$3,0)</f>
        <v>0</v>
      </c>
      <c r="E73" s="269">
        <f>IF('Salary Worksheet'!$I$10="y",(1+$B$2)^2*E72*'Salary Worksheet'!$K$3,0)</f>
        <v>0</v>
      </c>
      <c r="F73" s="269">
        <f>IF('Salary Worksheet'!$I$10="y",(1+$B$2)^3*F72*'Salary Worksheet'!$K$3,0)</f>
        <v>0</v>
      </c>
      <c r="G73" s="269">
        <f>IF('Salary Worksheet'!$I$10="y",(1+$B$2)^4*G72*'Salary Worksheet'!$K$3,0)</f>
        <v>0</v>
      </c>
      <c r="H73" s="269">
        <f>IF('Salary Worksheet'!$I$10="y",(1+$B$2)^5*H72*'Salary Worksheet'!$K$3,0)</f>
        <v>0</v>
      </c>
      <c r="I73" s="269">
        <f>I72*'Salary Worksheet'!K$3</f>
        <v>0</v>
      </c>
    </row>
    <row r="74" spans="1:14">
      <c r="B74" s="198" t="s">
        <v>68</v>
      </c>
      <c r="C74" s="269">
        <f t="shared" ref="C74:H74" si="9">SUM(C72:C73)</f>
        <v>0</v>
      </c>
      <c r="D74" s="269">
        <f t="shared" si="9"/>
        <v>0</v>
      </c>
      <c r="E74" s="269">
        <f t="shared" si="9"/>
        <v>0</v>
      </c>
      <c r="F74" s="269">
        <f t="shared" si="9"/>
        <v>0</v>
      </c>
      <c r="G74" s="269">
        <f t="shared" si="9"/>
        <v>0</v>
      </c>
      <c r="H74" s="269">
        <f t="shared" si="9"/>
        <v>0</v>
      </c>
      <c r="I74" s="269">
        <f>IF(AND(A64='Salary Worksheet'!B10,A65&lt;&gt;""),'Salary Worksheet'!W$9/2*9.8,0)</f>
        <v>0</v>
      </c>
    </row>
    <row r="77" spans="1:14">
      <c r="B77" s="198" t="s">
        <v>155</v>
      </c>
      <c r="C77" s="198" t="s">
        <v>4</v>
      </c>
      <c r="D77" s="198" t="s">
        <v>5</v>
      </c>
      <c r="E77" s="198" t="s">
        <v>52</v>
      </c>
      <c r="F77" s="198" t="s">
        <v>47</v>
      </c>
      <c r="G77" s="198" t="s">
        <v>48</v>
      </c>
      <c r="H77" s="198" t="s">
        <v>97</v>
      </c>
    </row>
    <row r="78" spans="1:14">
      <c r="A78" s="253">
        <f>IF('Salary Worksheet'!I11="y",'Salary Worksheet'!B11,0)</f>
        <v>0</v>
      </c>
      <c r="B78" s="198" t="s">
        <v>142</v>
      </c>
      <c r="C78" s="200">
        <v>0</v>
      </c>
      <c r="D78" s="200">
        <v>0</v>
      </c>
      <c r="E78" s="200">
        <v>0</v>
      </c>
      <c r="F78" s="200">
        <v>0</v>
      </c>
      <c r="G78" s="200">
        <v>0</v>
      </c>
      <c r="H78" s="200">
        <v>0</v>
      </c>
    </row>
    <row r="79" spans="1:14">
      <c r="B79" s="198" t="s">
        <v>107</v>
      </c>
      <c r="C79" s="200">
        <v>0</v>
      </c>
      <c r="D79" s="200">
        <v>0</v>
      </c>
      <c r="E79" s="200">
        <v>0</v>
      </c>
      <c r="F79" s="200">
        <v>0</v>
      </c>
      <c r="G79" s="200">
        <v>0</v>
      </c>
      <c r="H79" s="200">
        <v>0</v>
      </c>
    </row>
    <row r="81" spans="2:14">
      <c r="B81" s="198" t="s">
        <v>156</v>
      </c>
      <c r="C81" s="198" t="s">
        <v>4</v>
      </c>
      <c r="D81" s="198" t="s">
        <v>5</v>
      </c>
      <c r="E81" s="198" t="s">
        <v>52</v>
      </c>
      <c r="F81" s="198" t="s">
        <v>47</v>
      </c>
      <c r="G81" s="198" t="s">
        <v>48</v>
      </c>
      <c r="H81" s="198" t="s">
        <v>97</v>
      </c>
      <c r="I81" t="s">
        <v>151</v>
      </c>
    </row>
    <row r="82" spans="2:14">
      <c r="B82" s="198" t="s">
        <v>160</v>
      </c>
      <c r="C82" s="269">
        <f>IF(AND('Salary Worksheet'!$I11="y",$B$3&gt;0,C78&gt;0,$B$4=0),$I82*$B$3,IF(AND('Salary Worksheet'!$I11="y",$B$4&gt;0,C78&gt;0,$B$3=0),$B$4,0))</f>
        <v>0</v>
      </c>
      <c r="D82" s="269">
        <f>IF(AND('Salary Worksheet'!$I11="y",$B$3&gt;0,D78&gt;0,$B$4=0),(1+$B$1)*$I82*$B$3,IF(AND('Salary Worksheet'!$I11="y",$B$4&gt;0,D78&gt;0,$B$3=0),(1+$B$1)*$B$4,0))</f>
        <v>0</v>
      </c>
      <c r="E82" s="269">
        <f>IF(AND('Salary Worksheet'!$I11="y",$B$3&gt;0,E78&gt;0,$B$4=0),(1+$B$1)^2*$I82*$B$3,IF(AND('Salary Worksheet'!$I11="y",$B$4&gt;0,E78&gt;0,$B$3=0),(1+$B$1)^2*$B$4,0))</f>
        <v>0</v>
      </c>
      <c r="F82" s="269">
        <f>IF(AND('Salary Worksheet'!$I11="y",$B$3&gt;0,F78&gt;0,$B$4=0),(1+$B$1)^3*$I82*$B$3,IF(AND('Salary Worksheet'!$I11="y",$B$4&gt;0,F78&gt;0,$B$3=0),(1+$B$1)^3*$B$4,0))</f>
        <v>0</v>
      </c>
      <c r="G82" s="269">
        <f>IF(AND('Salary Worksheet'!$I11="y",$B$3&gt;0,G78&gt;0,$B$4=0),(1+$B$1)^4*$I82*$B$3,IF(AND('Salary Worksheet'!$I11="y",$B$4&gt;0,G78&gt;0,$B$3=0),(1+$B$1)^4*$B$4,0))</f>
        <v>0</v>
      </c>
      <c r="H82" s="269">
        <f>IF(AND('Salary Worksheet'!$I11="y",$B$3&gt;0,H78&gt;0,$B$4=0),(1+$B$1)^5*$I82*$B$3,IF(AND('Salary Worksheet'!$I11="y",$B$4&gt;0,H78&gt;0,$B$3=0),(1+$B$1)^5*$B$4,0))</f>
        <v>0</v>
      </c>
      <c r="I82" s="269">
        <f>IF(A78='Salary Worksheet'!B11,IF('Salary Worksheet'!D11=9,'Salary Worksheet'!K11/19.5*9.7,IF('Salary Worksheet'!D11=12,'Salary Worksheet'!K11/26.1*9.7,0)),0)</f>
        <v>0</v>
      </c>
      <c r="J82" t="e">
        <f>B$4/I82</f>
        <v>#DIV/0!</v>
      </c>
    </row>
    <row r="83" spans="2:14">
      <c r="B83" s="198" t="s">
        <v>22</v>
      </c>
      <c r="C83" s="269">
        <f>IF('Salary Worksheet'!$I$11="y",C82*'Salary Worksheet'!$K$3,0)</f>
        <v>0</v>
      </c>
      <c r="D83" s="269">
        <f>IF('Salary Worksheet'!$I$11="y",(1+$B$2)*D82*'Salary Worksheet'!$K$3,0)</f>
        <v>0</v>
      </c>
      <c r="E83" s="269">
        <f>IF('Salary Worksheet'!$I$11="y",(1+$B$2)^2*E82*'Salary Worksheet'!$K$3,0)</f>
        <v>0</v>
      </c>
      <c r="F83" s="269">
        <f>IF('Salary Worksheet'!$I$11="y",(1+$B$2)^3*F82*'Salary Worksheet'!$K$3,0)</f>
        <v>0</v>
      </c>
      <c r="G83" s="269">
        <f>IF('Salary Worksheet'!$I$11="y",(1+$B$2)^4*G82*'Salary Worksheet'!$K$3,0)</f>
        <v>0</v>
      </c>
      <c r="H83" s="269">
        <f>IF('Salary Worksheet'!$I$11="y",(1+$B$2)^5*H82*'Salary Worksheet'!$K$3,0)</f>
        <v>0</v>
      </c>
      <c r="I83" s="269">
        <f>I82*'Salary Worksheet'!K$3</f>
        <v>0</v>
      </c>
    </row>
    <row r="84" spans="2:14">
      <c r="B84" s="198" t="s">
        <v>68</v>
      </c>
      <c r="C84" s="269">
        <f t="shared" ref="C84:H84" si="10">SUM(C82:C83)</f>
        <v>0</v>
      </c>
      <c r="D84" s="269">
        <f t="shared" si="10"/>
        <v>0</v>
      </c>
      <c r="E84" s="269">
        <f t="shared" si="10"/>
        <v>0</v>
      </c>
      <c r="F84" s="269">
        <f t="shared" si="10"/>
        <v>0</v>
      </c>
      <c r="G84" s="269">
        <f t="shared" si="10"/>
        <v>0</v>
      </c>
      <c r="H84" s="269">
        <f t="shared" si="10"/>
        <v>0</v>
      </c>
      <c r="I84" s="269">
        <f>IF(AND(A78='Salary Worksheet'!B11,A79&lt;&gt;""),'Salary Worksheet'!W$9/2*9.7,0)</f>
        <v>0</v>
      </c>
    </row>
    <row r="85" spans="2:14">
      <c r="B85" s="198"/>
      <c r="C85" s="198"/>
      <c r="D85" s="198"/>
      <c r="E85" s="198"/>
      <c r="F85" s="198"/>
      <c r="G85" s="198"/>
      <c r="H85" s="198"/>
      <c r="I85" s="199"/>
      <c r="N85" s="269"/>
    </row>
    <row r="86" spans="2:14">
      <c r="B86" s="198" t="s">
        <v>161</v>
      </c>
      <c r="C86" s="269">
        <f>IF(AND('Salary Worksheet'!$I11="y",$B$3&gt;0,C79&gt;0,$B$4=0),$I86*$B$3,IF(AND('Salary Worksheet'!$I11="y",$B$4&gt;0,C79&gt;0,$B$3=0),$B$4,0))</f>
        <v>0</v>
      </c>
      <c r="D86" s="269">
        <f>IF(AND('Salary Worksheet'!$I11="y",$B$3&gt;0,D79&gt;0,$B$4=0),(1+$B$1)*$I86*$B$3,IF(AND('Salary Worksheet'!$I11="y",$B$4&gt;0,D79&gt;0,$B$3=0),(1+$B$1)*$B$4,0))</f>
        <v>0</v>
      </c>
      <c r="E86" s="269">
        <f>IF(AND('Salary Worksheet'!$I11="y",$B$3&gt;0,E79&gt;0,$B$4=0),(1+$B$1)^2*$I86*$B$3,IF(AND('Salary Worksheet'!$I11="y",$B$4&gt;0,E79&gt;0,$B$3=0),(1+$B$1)^2*$B$4,0))</f>
        <v>0</v>
      </c>
      <c r="F86" s="269">
        <f>IF(AND('Salary Worksheet'!$I11="y",$B$3&gt;0,F79&gt;0,$B$4=0),(1+$B$1)^3*$I86*$B$3,IF(AND('Salary Worksheet'!$I11="y",$B$4&gt;0,F79&gt;0,$B$3=0),(1+$B$1)^3*$B$4,0))</f>
        <v>0</v>
      </c>
      <c r="G86" s="269">
        <f>IF(AND('Salary Worksheet'!$I11="y",$B$3&gt;0,G79&gt;0,$B$4=0),(1+$B$1)^4*$I86*$B$3,IF(AND('Salary Worksheet'!$I11="y",$B$4&gt;0,G79&gt;0,$B$3=0),(1+$B$1)^4*$B$4,0))</f>
        <v>0</v>
      </c>
      <c r="H86" s="269">
        <f>IF(AND('Salary Worksheet'!$I11="y",$B$3&gt;0,H79&gt;0,$B$4=0),(1+$B$1)^5*$I86*$B$3,IF(AND('Salary Worksheet'!$I11="y",$B$4&gt;0,H79&gt;0,$B$3=0),(1+$B$1)^5*$B$4,0))</f>
        <v>0</v>
      </c>
      <c r="I86" s="269">
        <f>IF(A78='Salary Worksheet'!B11,IF('Salary Worksheet'!D11=9,'Salary Worksheet'!K11/19.5*9.8,IF('Salary Worksheet'!D11=12,'Salary Worksheet'!K11/26.1*9.8,0)),0)</f>
        <v>0</v>
      </c>
      <c r="J86" t="e">
        <f>B$4/I86</f>
        <v>#DIV/0!</v>
      </c>
      <c r="N86" s="269"/>
    </row>
    <row r="87" spans="2:14">
      <c r="B87" s="198" t="s">
        <v>22</v>
      </c>
      <c r="C87" s="269">
        <f>IF('Salary Worksheet'!$I$11="y",C86*'Salary Worksheet'!$K$3,0)</f>
        <v>0</v>
      </c>
      <c r="D87" s="269">
        <f>IF('Salary Worksheet'!$I$11="y",(1+$B$2)*D86*'Salary Worksheet'!$K$3,0)</f>
        <v>0</v>
      </c>
      <c r="E87" s="269">
        <f>IF('Salary Worksheet'!$I$11="y",(1+$B$2)^2*E86*'Salary Worksheet'!$K$3,0)</f>
        <v>0</v>
      </c>
      <c r="F87" s="269">
        <f>IF('Salary Worksheet'!$I$11="y",(1+$B$2)^3*F86*'Salary Worksheet'!$K$3,0)</f>
        <v>0</v>
      </c>
      <c r="G87" s="269">
        <f>IF('Salary Worksheet'!$I$11="y",(1+$B$2)^4*G86*'Salary Worksheet'!$K$3,0)</f>
        <v>0</v>
      </c>
      <c r="H87" s="269">
        <f>IF('Salary Worksheet'!$I$11="y",(1+$B$2)^5*H86*'Salary Worksheet'!$K$3,0)</f>
        <v>0</v>
      </c>
      <c r="I87" s="269">
        <f>I86*'Salary Worksheet'!K$3</f>
        <v>0</v>
      </c>
    </row>
    <row r="88" spans="2:14">
      <c r="B88" s="198" t="s">
        <v>68</v>
      </c>
      <c r="C88" s="269">
        <f t="shared" ref="C88:H88" si="11">SUM(C86:C87)</f>
        <v>0</v>
      </c>
      <c r="D88" s="269">
        <f t="shared" si="11"/>
        <v>0</v>
      </c>
      <c r="E88" s="269">
        <f t="shared" si="11"/>
        <v>0</v>
      </c>
      <c r="F88" s="269">
        <f t="shared" si="11"/>
        <v>0</v>
      </c>
      <c r="G88" s="269">
        <f t="shared" si="11"/>
        <v>0</v>
      </c>
      <c r="H88" s="269">
        <f t="shared" si="11"/>
        <v>0</v>
      </c>
      <c r="I88" s="269">
        <f>IF(AND(A78='Salary Worksheet'!B11,A79&lt;&gt;""),'Salary Worksheet'!W$9/2*9.8,0)</f>
        <v>0</v>
      </c>
    </row>
    <row r="92" spans="2:14">
      <c r="C92">
        <f>SUMIF($B11:$B88,"=*salary",C11:C88)</f>
        <v>0</v>
      </c>
      <c r="D92">
        <f t="shared" ref="D92:H92" si="12">SUMIF($B11:$B88,"=*salary",D11:D88)</f>
        <v>0</v>
      </c>
      <c r="E92">
        <f t="shared" si="12"/>
        <v>0</v>
      </c>
      <c r="F92">
        <f t="shared" si="12"/>
        <v>0</v>
      </c>
      <c r="G92">
        <f t="shared" si="12"/>
        <v>0</v>
      </c>
      <c r="H92">
        <f t="shared" si="12"/>
        <v>0</v>
      </c>
    </row>
    <row r="93" spans="2:14">
      <c r="C93">
        <f t="shared" ref="C93:H93" si="13">SUMIF($B11:$B88,"fringe",C11:C88)</f>
        <v>0</v>
      </c>
      <c r="D93">
        <f>SUMIF($B11:$B88,"fringe",D11:D88)</f>
        <v>0</v>
      </c>
      <c r="E93">
        <f t="shared" si="13"/>
        <v>0</v>
      </c>
      <c r="F93">
        <f t="shared" si="13"/>
        <v>0</v>
      </c>
      <c r="G93">
        <f t="shared" si="13"/>
        <v>0</v>
      </c>
      <c r="H93">
        <f t="shared" si="13"/>
        <v>0</v>
      </c>
    </row>
  </sheetData>
  <sheetProtection algorithmName="SHA-512" hashValue="1wr9L8NdOhQNLG+1PxUPue9cFgP4ywnCSer/A0sOErOajiRzPUJetazkhT3hwAHNg65XWnuVT1rqRLpx664jOQ==" saltValue="d7B75V87nKbbwpgQAjweAg==" spinCount="100000" sheet="1" selectLockedCells="1"/>
  <phoneticPr fontId="45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DF7A-6730-4A79-B532-C45EFF07A699}">
  <sheetPr>
    <tabColor theme="4" tint="0.59999389629810485"/>
  </sheetPr>
  <dimension ref="A1:K59"/>
  <sheetViews>
    <sheetView zoomScale="90" zoomScaleNormal="90" workbookViewId="0">
      <selection activeCell="G12" sqref="G12"/>
    </sheetView>
  </sheetViews>
  <sheetFormatPr defaultRowHeight="14.5"/>
  <cols>
    <col min="1" max="1" width="4.26953125" bestFit="1" customWidth="1"/>
    <col min="2" max="2" width="3.1796875" bestFit="1" customWidth="1"/>
    <col min="3" max="3" width="15.7265625" customWidth="1"/>
    <col min="4" max="4" width="12.1796875" bestFit="1" customWidth="1"/>
    <col min="5" max="11" width="15.7265625" customWidth="1"/>
  </cols>
  <sheetData>
    <row r="1" spans="1:1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 s="252"/>
      <c r="B2" s="252"/>
      <c r="C2" s="253"/>
      <c r="D2" s="253"/>
      <c r="E2" s="253" t="s">
        <v>4</v>
      </c>
      <c r="F2" s="253" t="s">
        <v>5</v>
      </c>
      <c r="G2" s="253" t="s">
        <v>52</v>
      </c>
      <c r="H2" s="253" t="s">
        <v>47</v>
      </c>
      <c r="I2" s="253" t="s">
        <v>48</v>
      </c>
      <c r="J2" s="253" t="s">
        <v>97</v>
      </c>
      <c r="K2" s="253" t="s">
        <v>68</v>
      </c>
    </row>
    <row r="3" spans="1:11">
      <c r="A3" s="252"/>
      <c r="B3" s="252"/>
      <c r="C3" s="253" t="s">
        <v>62</v>
      </c>
      <c r="D3" s="252"/>
      <c r="E3" s="254">
        <f t="shared" ref="E3:J3" si="0">ROUND(SUM(E11,E16,E21,E26,E31,E36,E41,E46,E51,E56),0)</f>
        <v>0</v>
      </c>
      <c r="F3" s="254">
        <f t="shared" si="0"/>
        <v>0</v>
      </c>
      <c r="G3" s="254">
        <f t="shared" si="0"/>
        <v>0</v>
      </c>
      <c r="H3" s="254">
        <f t="shared" si="0"/>
        <v>0</v>
      </c>
      <c r="I3" s="254">
        <f t="shared" si="0"/>
        <v>0</v>
      </c>
      <c r="J3" s="254">
        <f t="shared" si="0"/>
        <v>0</v>
      </c>
      <c r="K3" s="254">
        <f>SUM(E3:J3)</f>
        <v>0</v>
      </c>
    </row>
    <row r="4" spans="1:11">
      <c r="A4" s="252"/>
      <c r="B4" s="252"/>
      <c r="C4" s="253"/>
      <c r="D4" s="252"/>
      <c r="E4" s="252"/>
      <c r="F4" s="252"/>
      <c r="G4" s="252"/>
      <c r="H4" s="252"/>
      <c r="I4" s="252"/>
      <c r="J4" s="252"/>
      <c r="K4" s="252"/>
    </row>
    <row r="5" spans="1:11">
      <c r="A5" s="252"/>
      <c r="B5" s="252"/>
      <c r="C5" s="253" t="s">
        <v>63</v>
      </c>
      <c r="D5" s="252"/>
      <c r="E5" s="254">
        <f t="shared" ref="E5:J5" si="1">ROUND(SUM(E13,E18,E23,E28,E33,E38,E43,E48,E53,E58),0)</f>
        <v>0</v>
      </c>
      <c r="F5" s="254">
        <f t="shared" si="1"/>
        <v>0</v>
      </c>
      <c r="G5" s="254">
        <f t="shared" si="1"/>
        <v>0</v>
      </c>
      <c r="H5" s="254">
        <f t="shared" si="1"/>
        <v>0</v>
      </c>
      <c r="I5" s="254">
        <f t="shared" si="1"/>
        <v>0</v>
      </c>
      <c r="J5" s="254">
        <f t="shared" si="1"/>
        <v>0</v>
      </c>
      <c r="K5" s="254">
        <f>SUM(E5:J5)</f>
        <v>0</v>
      </c>
    </row>
    <row r="6" spans="1:11">
      <c r="A6" s="252"/>
      <c r="B6" s="252"/>
      <c r="C6" s="253"/>
      <c r="D6" s="252"/>
      <c r="E6" s="252"/>
      <c r="F6" s="252"/>
      <c r="G6" s="252"/>
      <c r="H6" s="252"/>
      <c r="I6" s="252"/>
      <c r="J6" s="252"/>
      <c r="K6" s="252"/>
    </row>
    <row r="7" spans="1:11">
      <c r="A7" s="252"/>
      <c r="B7" s="252"/>
      <c r="C7" s="253" t="s">
        <v>64</v>
      </c>
      <c r="D7" s="252"/>
      <c r="E7" s="254">
        <f t="shared" ref="E7:J7" si="2">ROUND(SUM(E14,E19,E24,E29,E34,E39,E44,E49,E54,E59),0)</f>
        <v>0</v>
      </c>
      <c r="F7" s="254">
        <f t="shared" si="2"/>
        <v>0</v>
      </c>
      <c r="G7" s="254">
        <f t="shared" si="2"/>
        <v>0</v>
      </c>
      <c r="H7" s="254">
        <f t="shared" si="2"/>
        <v>0</v>
      </c>
      <c r="I7" s="254">
        <f t="shared" si="2"/>
        <v>0</v>
      </c>
      <c r="J7" s="254">
        <f t="shared" si="2"/>
        <v>0</v>
      </c>
      <c r="K7" s="254">
        <f>SUM(E7:J7)</f>
        <v>0</v>
      </c>
    </row>
    <row r="8" spans="1:11">
      <c r="A8" s="252"/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10" spans="1:11">
      <c r="A10" s="185"/>
      <c r="B10" s="185"/>
      <c r="C10" s="185" t="s">
        <v>28</v>
      </c>
      <c r="D10" s="185"/>
      <c r="E10" s="185" t="s">
        <v>4</v>
      </c>
      <c r="F10" s="185" t="s">
        <v>5</v>
      </c>
      <c r="G10" s="185" t="s">
        <v>52</v>
      </c>
      <c r="H10" s="185" t="s">
        <v>47</v>
      </c>
      <c r="I10" s="185" t="s">
        <v>48</v>
      </c>
      <c r="J10" s="185" t="s">
        <v>97</v>
      </c>
      <c r="K10" s="185" t="s">
        <v>68</v>
      </c>
    </row>
    <row r="11" spans="1:11">
      <c r="A11" s="249" t="s">
        <v>69</v>
      </c>
      <c r="B11" s="249">
        <v>1</v>
      </c>
      <c r="C11" s="222"/>
      <c r="D11" s="247" t="s">
        <v>65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0</v>
      </c>
      <c r="K11" s="248">
        <f>SUM(E11:J11)</f>
        <v>0</v>
      </c>
    </row>
    <row r="12" spans="1:11">
      <c r="D12" s="247" t="s">
        <v>70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0</v>
      </c>
      <c r="K12" s="248">
        <f>SUM(E12:J12)</f>
        <v>0</v>
      </c>
    </row>
    <row r="13" spans="1:11">
      <c r="D13" s="247" t="s">
        <v>66</v>
      </c>
      <c r="E13" s="248">
        <f t="shared" ref="E13:J13" si="3">SUM(E11:E12)</f>
        <v>0</v>
      </c>
      <c r="F13" s="248">
        <f t="shared" si="3"/>
        <v>0</v>
      </c>
      <c r="G13" s="248">
        <f t="shared" si="3"/>
        <v>0</v>
      </c>
      <c r="H13" s="248">
        <f t="shared" si="3"/>
        <v>0</v>
      </c>
      <c r="I13" s="248">
        <f t="shared" si="3"/>
        <v>0</v>
      </c>
      <c r="J13" s="248">
        <f t="shared" si="3"/>
        <v>0</v>
      </c>
      <c r="K13" s="248">
        <f>SUM(E13:J13)</f>
        <v>0</v>
      </c>
    </row>
    <row r="14" spans="1:11">
      <c r="D14" s="247" t="s">
        <v>67</v>
      </c>
      <c r="E14" s="248">
        <f>IF(E13&lt;=25000,E13,25000)</f>
        <v>0</v>
      </c>
      <c r="F14" s="248">
        <f>IF(E14&lt;25000,IF((E14+F13)&lt;25000,F13,25000-E14),0)</f>
        <v>0</v>
      </c>
      <c r="G14" s="248">
        <f>IF((E14+F14)&lt;25000,IF((E14+F14+G13)&lt;25000,G13,(25000-E14-F14)),0)</f>
        <v>0</v>
      </c>
      <c r="H14" s="248">
        <f>IF((E14+F14+G14)&lt;25000,IF((E14+F14+G14+H13)&lt;25000,H13,(25000-E14-F14-G14)),0)</f>
        <v>0</v>
      </c>
      <c r="I14" s="248">
        <f>IF((E14+F14+G14+H14)&lt;25000,IF((E14+F14+G14+H14+I13)&lt;25000,I13,(25000-E14-F14-G14-H14)),0)</f>
        <v>0</v>
      </c>
      <c r="J14" s="248">
        <f>IF((E14+F14+G14+H14+I14)&lt;25000,IF((E14+F14+G14+H14+I14+J13)&lt;25000,J13,(25000-E14-F14-G14-H14-I14)),0)</f>
        <v>0</v>
      </c>
      <c r="K14" s="248">
        <f>SUM(E14:J14)</f>
        <v>0</v>
      </c>
    </row>
    <row r="16" spans="1:11">
      <c r="A16" s="249" t="s">
        <v>69</v>
      </c>
      <c r="B16" s="249">
        <v>2</v>
      </c>
      <c r="C16" s="222"/>
      <c r="D16" s="247" t="s">
        <v>65</v>
      </c>
      <c r="E16" s="251"/>
      <c r="F16" s="251">
        <v>0</v>
      </c>
      <c r="G16" s="251">
        <v>0</v>
      </c>
      <c r="H16" s="251">
        <v>0</v>
      </c>
      <c r="I16" s="251">
        <v>0</v>
      </c>
      <c r="J16" s="251">
        <v>0</v>
      </c>
      <c r="K16" s="248">
        <f>SUM(E16:J16)</f>
        <v>0</v>
      </c>
    </row>
    <row r="17" spans="1:11">
      <c r="D17" s="247" t="s">
        <v>70</v>
      </c>
      <c r="E17" s="251"/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48">
        <f>SUM(E17:J17)</f>
        <v>0</v>
      </c>
    </row>
    <row r="18" spans="1:11">
      <c r="D18" s="247" t="s">
        <v>66</v>
      </c>
      <c r="E18" s="248">
        <f t="shared" ref="E18:J18" si="4">SUM(E16:E17)</f>
        <v>0</v>
      </c>
      <c r="F18" s="248">
        <f t="shared" si="4"/>
        <v>0</v>
      </c>
      <c r="G18" s="248">
        <f t="shared" si="4"/>
        <v>0</v>
      </c>
      <c r="H18" s="248">
        <f t="shared" si="4"/>
        <v>0</v>
      </c>
      <c r="I18" s="248">
        <f t="shared" si="4"/>
        <v>0</v>
      </c>
      <c r="J18" s="248">
        <f t="shared" si="4"/>
        <v>0</v>
      </c>
      <c r="K18" s="248">
        <f>SUM(E18:J18)</f>
        <v>0</v>
      </c>
    </row>
    <row r="19" spans="1:11">
      <c r="D19" s="247" t="s">
        <v>67</v>
      </c>
      <c r="E19" s="248">
        <f>IF(E18&lt;=25000,E18,25000)</f>
        <v>0</v>
      </c>
      <c r="F19" s="248">
        <f>IF(E19&lt;25000,IF((E19+F18)&lt;25000,F18,25000-E19),0)</f>
        <v>0</v>
      </c>
      <c r="G19" s="248">
        <f>IF((E19+F19)&lt;25000,IF((E19+F19+G18)&lt;25000,G18,(25000-E19-F19)),0)</f>
        <v>0</v>
      </c>
      <c r="H19" s="248">
        <f>IF((E19+F19+G19)&lt;25000,IF((E19+F19+G19+H18)&lt;25000,H18,(25000-E19-F19-G19)),0)</f>
        <v>0</v>
      </c>
      <c r="I19" s="248">
        <f>IF((E19+F19+G19+H19)&lt;25000,IF((E19+F19+G19+H19+I18)&lt;25000,I18,(25000-E19-F19-G19-H19)),0)</f>
        <v>0</v>
      </c>
      <c r="J19" s="248">
        <f>IF((E19+F19+G19+H19+I19)&lt;25000,IF((E19+F19+G19+H19+I19+J18)&lt;25000,J18,(25000-E19-F19-G19-H19-I19)),0)</f>
        <v>0</v>
      </c>
      <c r="K19" s="248">
        <f>SUM(E19:J19)</f>
        <v>0</v>
      </c>
    </row>
    <row r="21" spans="1:11">
      <c r="A21" s="249" t="s">
        <v>69</v>
      </c>
      <c r="B21" s="249">
        <v>3</v>
      </c>
      <c r="C21" s="222"/>
      <c r="D21" s="247" t="s">
        <v>65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0</v>
      </c>
      <c r="K21" s="248">
        <f>SUM(E21:J21)</f>
        <v>0</v>
      </c>
    </row>
    <row r="22" spans="1:11">
      <c r="D22" s="247" t="s">
        <v>70</v>
      </c>
      <c r="E22" s="251">
        <v>0</v>
      </c>
      <c r="F22" s="251">
        <v>0</v>
      </c>
      <c r="G22" s="251">
        <v>0</v>
      </c>
      <c r="H22" s="251">
        <v>0</v>
      </c>
      <c r="I22" s="251">
        <v>0</v>
      </c>
      <c r="J22" s="251">
        <v>0</v>
      </c>
      <c r="K22" s="248">
        <f>SUM(E22:J22)</f>
        <v>0</v>
      </c>
    </row>
    <row r="23" spans="1:11">
      <c r="D23" s="247" t="s">
        <v>66</v>
      </c>
      <c r="E23" s="248">
        <f t="shared" ref="E23:J23" si="5">SUM(E21:E22)</f>
        <v>0</v>
      </c>
      <c r="F23" s="248">
        <f t="shared" si="5"/>
        <v>0</v>
      </c>
      <c r="G23" s="248">
        <f t="shared" si="5"/>
        <v>0</v>
      </c>
      <c r="H23" s="248">
        <f t="shared" si="5"/>
        <v>0</v>
      </c>
      <c r="I23" s="248">
        <f t="shared" si="5"/>
        <v>0</v>
      </c>
      <c r="J23" s="248">
        <f t="shared" si="5"/>
        <v>0</v>
      </c>
      <c r="K23" s="248">
        <f>SUM(E23:J23)</f>
        <v>0</v>
      </c>
    </row>
    <row r="24" spans="1:11">
      <c r="D24" s="247" t="s">
        <v>67</v>
      </c>
      <c r="E24" s="248">
        <f>IF(E23&lt;=25000,E23,25000)</f>
        <v>0</v>
      </c>
      <c r="F24" s="248">
        <f>IF(E24&lt;25000,IF((E24+F23)&lt;25000,F23,25000-E24),0)</f>
        <v>0</v>
      </c>
      <c r="G24" s="248">
        <f>IF((E24+F24)&lt;25000,IF((E24+F24+G23)&lt;25000,G23,(25000-E24-F24)),0)</f>
        <v>0</v>
      </c>
      <c r="H24" s="248">
        <f>IF((E24+F24+G24)&lt;25000,IF((E24+F24+G24+H23)&lt;25000,H23,(25000-E24-F24-G24)),0)</f>
        <v>0</v>
      </c>
      <c r="I24" s="248">
        <f>IF((E24+F24+G24+H24)&lt;25000,IF((E24+F24+G24+H24+I23)&lt;25000,I23,(25000-E24-F24-G24-H24)),0)</f>
        <v>0</v>
      </c>
      <c r="J24" s="248">
        <f>IF((E24+F24+G24+H24+I24)&lt;25000,IF((E24+F24+G24+H24+I24+J23)&lt;25000,J23,(25000-E24-F24-G24-H24-I24)),0)</f>
        <v>0</v>
      </c>
      <c r="K24" s="248">
        <f>SUM(E24:J24)</f>
        <v>0</v>
      </c>
    </row>
    <row r="26" spans="1:11">
      <c r="A26" s="249" t="s">
        <v>69</v>
      </c>
      <c r="B26" s="249">
        <v>4</v>
      </c>
      <c r="C26" s="222"/>
      <c r="D26" s="247" t="s">
        <v>65</v>
      </c>
      <c r="E26" s="251">
        <v>0</v>
      </c>
      <c r="F26" s="251">
        <v>0</v>
      </c>
      <c r="G26" s="251">
        <v>0</v>
      </c>
      <c r="H26" s="251">
        <v>0</v>
      </c>
      <c r="I26" s="251">
        <v>0</v>
      </c>
      <c r="J26" s="251">
        <v>0</v>
      </c>
      <c r="K26" s="248">
        <f>SUM(E26:J26)</f>
        <v>0</v>
      </c>
    </row>
    <row r="27" spans="1:11">
      <c r="D27" s="247" t="s">
        <v>70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0</v>
      </c>
      <c r="K27" s="248">
        <f>SUM(E27:J27)</f>
        <v>0</v>
      </c>
    </row>
    <row r="28" spans="1:11">
      <c r="D28" s="247" t="s">
        <v>66</v>
      </c>
      <c r="E28" s="248">
        <f t="shared" ref="E28:J28" si="6">SUM(E26:E27)</f>
        <v>0</v>
      </c>
      <c r="F28" s="248">
        <f t="shared" si="6"/>
        <v>0</v>
      </c>
      <c r="G28" s="248">
        <f t="shared" si="6"/>
        <v>0</v>
      </c>
      <c r="H28" s="248">
        <f t="shared" si="6"/>
        <v>0</v>
      </c>
      <c r="I28" s="248">
        <f t="shared" si="6"/>
        <v>0</v>
      </c>
      <c r="J28" s="248">
        <f t="shared" si="6"/>
        <v>0</v>
      </c>
      <c r="K28" s="248">
        <f>SUM(E28:J28)</f>
        <v>0</v>
      </c>
    </row>
    <row r="29" spans="1:11">
      <c r="D29" s="247" t="s">
        <v>67</v>
      </c>
      <c r="E29" s="248">
        <f>IF(E28&lt;=25000,E28,25000)</f>
        <v>0</v>
      </c>
      <c r="F29" s="248">
        <f>IF(E29&lt;25000,IF((E29+F28)&lt;25000,F28,25000-E29),0)</f>
        <v>0</v>
      </c>
      <c r="G29" s="248">
        <f>IF((E29+F29)&lt;25000,IF((E29+F29+G28)&lt;25000,G28,(25000-E29-F29)),0)</f>
        <v>0</v>
      </c>
      <c r="H29" s="248">
        <f>IF((E29+F29+G29)&lt;25000,IF((E29+F29+G29+H28)&lt;25000,H28,(25000-E29-F29-G29)),0)</f>
        <v>0</v>
      </c>
      <c r="I29" s="248">
        <f>IF((E29+F29+G29+H29)&lt;25000,IF((E29+F29+G29+H29+I28)&lt;25000,I28,(25000-E29-F29-G29-H29)),0)</f>
        <v>0</v>
      </c>
      <c r="J29" s="248">
        <f>IF((E29+F29+G29+H29+I29)&lt;25000,IF((E29+F29+G29+H29+I29+J28)&lt;25000,J28,(25000-E29-F29-G29-H29-I29)),0)</f>
        <v>0</v>
      </c>
      <c r="K29" s="248">
        <f>SUM(E29:J29)</f>
        <v>0</v>
      </c>
    </row>
    <row r="31" spans="1:11">
      <c r="A31" s="249" t="s">
        <v>69</v>
      </c>
      <c r="B31" s="249">
        <v>5</v>
      </c>
      <c r="C31" s="222"/>
      <c r="D31" s="247" t="s">
        <v>65</v>
      </c>
      <c r="E31" s="251">
        <v>0</v>
      </c>
      <c r="F31" s="251">
        <v>0</v>
      </c>
      <c r="G31" s="251">
        <v>0</v>
      </c>
      <c r="H31" s="251">
        <v>0</v>
      </c>
      <c r="I31" s="251">
        <v>0</v>
      </c>
      <c r="J31" s="251">
        <v>0</v>
      </c>
      <c r="K31" s="248">
        <f>SUM(E31:J31)</f>
        <v>0</v>
      </c>
    </row>
    <row r="32" spans="1:11">
      <c r="D32" s="247" t="s">
        <v>70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0</v>
      </c>
      <c r="K32" s="248">
        <f>SUM(E32:J32)</f>
        <v>0</v>
      </c>
    </row>
    <row r="33" spans="1:11">
      <c r="D33" s="247" t="s">
        <v>66</v>
      </c>
      <c r="E33" s="248">
        <f t="shared" ref="E33:J33" si="7">SUM(E31:E32)</f>
        <v>0</v>
      </c>
      <c r="F33" s="248">
        <f t="shared" si="7"/>
        <v>0</v>
      </c>
      <c r="G33" s="248">
        <f t="shared" si="7"/>
        <v>0</v>
      </c>
      <c r="H33" s="248">
        <f t="shared" si="7"/>
        <v>0</v>
      </c>
      <c r="I33" s="248">
        <f t="shared" si="7"/>
        <v>0</v>
      </c>
      <c r="J33" s="248">
        <f t="shared" si="7"/>
        <v>0</v>
      </c>
      <c r="K33" s="248">
        <f>SUM(E33:J33)</f>
        <v>0</v>
      </c>
    </row>
    <row r="34" spans="1:11">
      <c r="D34" s="247" t="s">
        <v>67</v>
      </c>
      <c r="E34" s="248">
        <f>IF(E33&lt;=25000,E33,25000)</f>
        <v>0</v>
      </c>
      <c r="F34" s="248">
        <f>IF(E34&lt;25000,IF((E34+F33)&lt;25000,F33,25000-E34),0)</f>
        <v>0</v>
      </c>
      <c r="G34" s="248">
        <f>IF((E34+F34)&lt;25000,IF((E34+F34+G33)&lt;25000,G33,(25000-E34-F34)),0)</f>
        <v>0</v>
      </c>
      <c r="H34" s="248">
        <f>IF((E34+F34+G34)&lt;25000,IF((E34+F34+G34+H33)&lt;25000,H33,(25000-E34-F34-G34)),0)</f>
        <v>0</v>
      </c>
      <c r="I34" s="248">
        <f>IF((E34+F34+G34+H34)&lt;25000,IF((E34+F34+G34+H34+I33)&lt;25000,I33,(25000-E34-F34-G34-H34)),0)</f>
        <v>0</v>
      </c>
      <c r="J34" s="248">
        <f>IF((E34+F34+G34+H34+I34)&lt;25000,IF((E34+F34+G34+H34+I34+J33)&lt;25000,J33,(25000-E34-F34-G34-H34-I34)),0)</f>
        <v>0</v>
      </c>
      <c r="K34" s="248">
        <f>SUM(E34:J34)</f>
        <v>0</v>
      </c>
    </row>
    <row r="36" spans="1:11">
      <c r="A36" s="249" t="s">
        <v>69</v>
      </c>
      <c r="B36" s="249">
        <v>6</v>
      </c>
      <c r="C36" s="222"/>
      <c r="D36" s="247" t="s">
        <v>65</v>
      </c>
      <c r="E36" s="251">
        <v>0</v>
      </c>
      <c r="F36" s="251">
        <v>0</v>
      </c>
      <c r="G36" s="251">
        <v>0</v>
      </c>
      <c r="H36" s="251">
        <v>0</v>
      </c>
      <c r="I36" s="251">
        <v>0</v>
      </c>
      <c r="J36" s="251">
        <v>0</v>
      </c>
      <c r="K36" s="248">
        <f>SUM(E36:J36)</f>
        <v>0</v>
      </c>
    </row>
    <row r="37" spans="1:11">
      <c r="D37" s="247" t="s">
        <v>70</v>
      </c>
      <c r="E37" s="251">
        <v>0</v>
      </c>
      <c r="F37" s="251">
        <v>0</v>
      </c>
      <c r="G37" s="251">
        <v>0</v>
      </c>
      <c r="H37" s="251">
        <v>0</v>
      </c>
      <c r="I37" s="251">
        <v>0</v>
      </c>
      <c r="J37" s="251">
        <v>0</v>
      </c>
      <c r="K37" s="248">
        <f>SUM(E37:J37)</f>
        <v>0</v>
      </c>
    </row>
    <row r="38" spans="1:11">
      <c r="D38" s="247" t="s">
        <v>66</v>
      </c>
      <c r="E38" s="248">
        <f t="shared" ref="E38:J38" si="8">SUM(E36:E37)</f>
        <v>0</v>
      </c>
      <c r="F38" s="248">
        <f t="shared" si="8"/>
        <v>0</v>
      </c>
      <c r="G38" s="248">
        <f t="shared" si="8"/>
        <v>0</v>
      </c>
      <c r="H38" s="248">
        <f t="shared" si="8"/>
        <v>0</v>
      </c>
      <c r="I38" s="248">
        <f t="shared" si="8"/>
        <v>0</v>
      </c>
      <c r="J38" s="248">
        <f t="shared" si="8"/>
        <v>0</v>
      </c>
      <c r="K38" s="248">
        <f>SUM(E38:J38)</f>
        <v>0</v>
      </c>
    </row>
    <row r="39" spans="1:11">
      <c r="D39" s="247" t="s">
        <v>67</v>
      </c>
      <c r="E39" s="248">
        <f>IF(E38&lt;=25000,E38,25000)</f>
        <v>0</v>
      </c>
      <c r="F39" s="248">
        <f>IF(E39&lt;25000,IF((E39+F38)&lt;25000,F38,25000-E39),0)</f>
        <v>0</v>
      </c>
      <c r="G39" s="248">
        <f>IF((E39+F39)&lt;25000,IF((E39+F39+G38)&lt;25000,G38,(25000-E39-F39)),0)</f>
        <v>0</v>
      </c>
      <c r="H39" s="248">
        <f>IF((E39+F39+G39)&lt;25000,IF((E39+F39+G39+H38)&lt;25000,H38,(25000-E39-F39-G39)),0)</f>
        <v>0</v>
      </c>
      <c r="I39" s="248">
        <f>IF((E39+F39+G39+H39)&lt;25000,IF((E39+F39+G39+H39+I38)&lt;25000,I38,(25000-E39-F39-G39-H39)),0)</f>
        <v>0</v>
      </c>
      <c r="J39" s="248">
        <f>IF((E39+F39+G39+H39+I39)&lt;25000,IF((E39+F39+G39+H39+I39+J38)&lt;25000,J38,(25000-E39-F39-G39-H39-I39)),0)</f>
        <v>0</v>
      </c>
      <c r="K39" s="248">
        <f>SUM(E39:J39)</f>
        <v>0</v>
      </c>
    </row>
    <row r="41" spans="1:11">
      <c r="A41" s="249" t="s">
        <v>69</v>
      </c>
      <c r="B41" s="249">
        <v>7</v>
      </c>
      <c r="C41" s="222"/>
      <c r="D41" s="247" t="s">
        <v>65</v>
      </c>
      <c r="E41" s="251">
        <v>0</v>
      </c>
      <c r="F41" s="251">
        <v>0</v>
      </c>
      <c r="G41" s="251">
        <v>0</v>
      </c>
      <c r="H41" s="251">
        <v>0</v>
      </c>
      <c r="I41" s="251">
        <v>0</v>
      </c>
      <c r="J41" s="251">
        <v>0</v>
      </c>
      <c r="K41" s="248">
        <f>SUM(E41:J41)</f>
        <v>0</v>
      </c>
    </row>
    <row r="42" spans="1:11">
      <c r="D42" s="247" t="s">
        <v>70</v>
      </c>
      <c r="E42" s="251">
        <v>0</v>
      </c>
      <c r="F42" s="251">
        <v>0</v>
      </c>
      <c r="G42" s="251">
        <v>0</v>
      </c>
      <c r="H42" s="251">
        <v>0</v>
      </c>
      <c r="I42" s="251">
        <v>0</v>
      </c>
      <c r="J42" s="251">
        <v>0</v>
      </c>
      <c r="K42" s="248">
        <f>SUM(E42:J42)</f>
        <v>0</v>
      </c>
    </row>
    <row r="43" spans="1:11">
      <c r="D43" s="247" t="s">
        <v>66</v>
      </c>
      <c r="E43" s="248">
        <f t="shared" ref="E43:J43" si="9">SUM(E41:E42)</f>
        <v>0</v>
      </c>
      <c r="F43" s="248">
        <f t="shared" si="9"/>
        <v>0</v>
      </c>
      <c r="G43" s="248">
        <f t="shared" si="9"/>
        <v>0</v>
      </c>
      <c r="H43" s="248">
        <f t="shared" si="9"/>
        <v>0</v>
      </c>
      <c r="I43" s="248">
        <f t="shared" si="9"/>
        <v>0</v>
      </c>
      <c r="J43" s="248">
        <f t="shared" si="9"/>
        <v>0</v>
      </c>
      <c r="K43" s="248">
        <f>SUM(E43:J43)</f>
        <v>0</v>
      </c>
    </row>
    <row r="44" spans="1:11">
      <c r="D44" s="247" t="s">
        <v>67</v>
      </c>
      <c r="E44" s="248">
        <f>IF(E43&lt;=25000,E43,25000)</f>
        <v>0</v>
      </c>
      <c r="F44" s="248">
        <f>IF(E44&lt;25000,IF((E44+F43)&lt;25000,F43,25000-E44),0)</f>
        <v>0</v>
      </c>
      <c r="G44" s="248">
        <f>IF((E44+F44)&lt;25000,IF((E44+F44+G43)&lt;25000,G43,(25000-E44-F44)),0)</f>
        <v>0</v>
      </c>
      <c r="H44" s="248">
        <f>IF((E44+F44+G44)&lt;25000,IF((E44+F44+G44+H43)&lt;25000,H43,(25000-E44-F44-G44)),0)</f>
        <v>0</v>
      </c>
      <c r="I44" s="248">
        <f>IF((E44+F44+G44+H44)&lt;25000,IF((E44+F44+G44+H44+I43)&lt;25000,I43,(25000-E44-F44-G44-H44)),0)</f>
        <v>0</v>
      </c>
      <c r="J44" s="248">
        <f>IF((E44+F44+G44+H44+I44)&lt;25000,IF((E44+F44+G44+H44+I44+J43)&lt;25000,J43,(25000-E44-F44-G44-H44-I44)),0)</f>
        <v>0</v>
      </c>
      <c r="K44" s="248">
        <f>SUM(E44:J44)</f>
        <v>0</v>
      </c>
    </row>
    <row r="46" spans="1:11">
      <c r="A46" s="249" t="s">
        <v>69</v>
      </c>
      <c r="B46" s="249">
        <v>8</v>
      </c>
      <c r="C46" s="222"/>
      <c r="D46" s="247" t="s">
        <v>65</v>
      </c>
      <c r="E46" s="251">
        <v>0</v>
      </c>
      <c r="F46" s="251">
        <v>0</v>
      </c>
      <c r="G46" s="251">
        <v>0</v>
      </c>
      <c r="H46" s="251">
        <v>0</v>
      </c>
      <c r="I46" s="251">
        <v>0</v>
      </c>
      <c r="J46" s="251">
        <v>0</v>
      </c>
      <c r="K46" s="248">
        <f>SUM(E46:J46)</f>
        <v>0</v>
      </c>
    </row>
    <row r="47" spans="1:11">
      <c r="D47" s="247" t="s">
        <v>70</v>
      </c>
      <c r="E47" s="251">
        <v>0</v>
      </c>
      <c r="F47" s="251">
        <v>0</v>
      </c>
      <c r="G47" s="251">
        <v>0</v>
      </c>
      <c r="H47" s="251">
        <v>0</v>
      </c>
      <c r="I47" s="251">
        <v>0</v>
      </c>
      <c r="J47" s="251">
        <v>0</v>
      </c>
      <c r="K47" s="248">
        <f>SUM(E47:J47)</f>
        <v>0</v>
      </c>
    </row>
    <row r="48" spans="1:11">
      <c r="D48" s="247" t="s">
        <v>66</v>
      </c>
      <c r="E48" s="248">
        <f t="shared" ref="E48:J48" si="10">SUM(E46:E47)</f>
        <v>0</v>
      </c>
      <c r="F48" s="248">
        <f t="shared" si="10"/>
        <v>0</v>
      </c>
      <c r="G48" s="248">
        <f t="shared" si="10"/>
        <v>0</v>
      </c>
      <c r="H48" s="248">
        <f t="shared" si="10"/>
        <v>0</v>
      </c>
      <c r="I48" s="248">
        <f t="shared" si="10"/>
        <v>0</v>
      </c>
      <c r="J48" s="248">
        <f t="shared" si="10"/>
        <v>0</v>
      </c>
      <c r="K48" s="248">
        <f>SUM(E48:J48)</f>
        <v>0</v>
      </c>
    </row>
    <row r="49" spans="1:11">
      <c r="D49" s="247" t="s">
        <v>67</v>
      </c>
      <c r="E49" s="248">
        <f>IF(E48&lt;=25000,E48,25000)</f>
        <v>0</v>
      </c>
      <c r="F49" s="248">
        <f>IF(E49&lt;25000,IF((E49+F48)&lt;25000,F48,25000-E49),0)</f>
        <v>0</v>
      </c>
      <c r="G49" s="248">
        <f>IF((E49+F49)&lt;25000,IF((E49+F49+G48)&lt;25000,G48,(25000-E49-F49)),0)</f>
        <v>0</v>
      </c>
      <c r="H49" s="248">
        <f>IF((E49+F49+G49)&lt;25000,IF((E49+F49+G49+H48)&lt;25000,H48,(25000-E49-F49-G49)),0)</f>
        <v>0</v>
      </c>
      <c r="I49" s="248">
        <f>IF((E49+F49+G49+H49)&lt;25000,IF((E49+F49+G49+H49+I48)&lt;25000,I48,(25000-E49-F49-G49-H49)),0)</f>
        <v>0</v>
      </c>
      <c r="J49" s="248">
        <f>IF((E49+F49+G49+H49+I49)&lt;25000,IF((E49+F49+G49+H49+I49+J48)&lt;25000,J48,(25000-E49-F49-G49-H49-I49)),0)</f>
        <v>0</v>
      </c>
      <c r="K49" s="248">
        <f>SUM(E49:J49)</f>
        <v>0</v>
      </c>
    </row>
    <row r="51" spans="1:11">
      <c r="A51" s="249" t="s">
        <v>69</v>
      </c>
      <c r="B51" s="249">
        <v>9</v>
      </c>
      <c r="C51" s="222"/>
      <c r="D51" s="247" t="s">
        <v>65</v>
      </c>
      <c r="E51" s="251">
        <v>0</v>
      </c>
      <c r="F51" s="251">
        <v>0</v>
      </c>
      <c r="G51" s="251">
        <v>0</v>
      </c>
      <c r="H51" s="251">
        <v>0</v>
      </c>
      <c r="I51" s="251">
        <v>0</v>
      </c>
      <c r="J51" s="251">
        <v>0</v>
      </c>
      <c r="K51" s="248">
        <f>SUM(E51:J51)</f>
        <v>0</v>
      </c>
    </row>
    <row r="52" spans="1:11">
      <c r="D52" s="247" t="s">
        <v>70</v>
      </c>
      <c r="E52" s="251">
        <v>0</v>
      </c>
      <c r="F52" s="251">
        <v>0</v>
      </c>
      <c r="G52" s="251">
        <v>0</v>
      </c>
      <c r="H52" s="251">
        <v>0</v>
      </c>
      <c r="I52" s="251">
        <v>0</v>
      </c>
      <c r="J52" s="251">
        <v>0</v>
      </c>
      <c r="K52" s="248">
        <f>SUM(E52:J52)</f>
        <v>0</v>
      </c>
    </row>
    <row r="53" spans="1:11">
      <c r="D53" s="247" t="s">
        <v>66</v>
      </c>
      <c r="E53" s="248">
        <f t="shared" ref="E53:J53" si="11">SUM(E51:E52)</f>
        <v>0</v>
      </c>
      <c r="F53" s="248">
        <f t="shared" si="11"/>
        <v>0</v>
      </c>
      <c r="G53" s="248">
        <f t="shared" si="11"/>
        <v>0</v>
      </c>
      <c r="H53" s="248">
        <f t="shared" si="11"/>
        <v>0</v>
      </c>
      <c r="I53" s="248">
        <f t="shared" si="11"/>
        <v>0</v>
      </c>
      <c r="J53" s="248">
        <f t="shared" si="11"/>
        <v>0</v>
      </c>
      <c r="K53" s="248">
        <f>SUM(E53:J53)</f>
        <v>0</v>
      </c>
    </row>
    <row r="54" spans="1:11">
      <c r="D54" s="247" t="s">
        <v>67</v>
      </c>
      <c r="E54" s="248">
        <f>IF(E53&lt;=25000,E53,25000)</f>
        <v>0</v>
      </c>
      <c r="F54" s="248">
        <f>IF(E54&lt;25000,IF((E54+F53)&lt;25000,F53,25000-E54),0)</f>
        <v>0</v>
      </c>
      <c r="G54" s="248">
        <f>IF((E54+F54)&lt;25000,IF((E54+F54+G53)&lt;25000,G53,(25000-E54-F54)),0)</f>
        <v>0</v>
      </c>
      <c r="H54" s="248">
        <f>IF((E54+F54+G54)&lt;25000,IF((E54+F54+G54+H53)&lt;25000,H53,(25000-E54-F54-G54)),0)</f>
        <v>0</v>
      </c>
      <c r="I54" s="248">
        <f>IF((E54+F54+G54+H54)&lt;25000,IF((E54+F54+G54+H54+I53)&lt;25000,I53,(25000-E54-F54-G54-H54)),0)</f>
        <v>0</v>
      </c>
      <c r="J54" s="248">
        <f>IF((E54+F54+G54+H54+I54)&lt;25000,IF((E54+F54+G54+H54+I54+J53)&lt;25000,J53,(25000-E54-F54-G54-H54-I54)),0)</f>
        <v>0</v>
      </c>
      <c r="K54" s="248">
        <f>SUM(E54:J54)</f>
        <v>0</v>
      </c>
    </row>
    <row r="56" spans="1:11">
      <c r="A56" s="249" t="s">
        <v>69</v>
      </c>
      <c r="B56" s="249">
        <v>10</v>
      </c>
      <c r="C56" s="222"/>
      <c r="D56" s="247" t="s">
        <v>65</v>
      </c>
      <c r="E56" s="251">
        <v>0</v>
      </c>
      <c r="F56" s="251">
        <v>0</v>
      </c>
      <c r="G56" s="251">
        <v>0</v>
      </c>
      <c r="H56" s="251">
        <v>0</v>
      </c>
      <c r="I56" s="251">
        <v>0</v>
      </c>
      <c r="J56" s="251">
        <v>0</v>
      </c>
      <c r="K56" s="248">
        <f>SUM(E56:J56)</f>
        <v>0</v>
      </c>
    </row>
    <row r="57" spans="1:11">
      <c r="D57" s="247" t="s">
        <v>70</v>
      </c>
      <c r="E57" s="251">
        <v>0</v>
      </c>
      <c r="F57" s="251">
        <v>0</v>
      </c>
      <c r="G57" s="251">
        <v>0</v>
      </c>
      <c r="H57" s="251">
        <v>0</v>
      </c>
      <c r="I57" s="251">
        <v>0</v>
      </c>
      <c r="J57" s="251">
        <v>0</v>
      </c>
      <c r="K57" s="248">
        <f>SUM(E57:J57)</f>
        <v>0</v>
      </c>
    </row>
    <row r="58" spans="1:11">
      <c r="D58" s="247" t="s">
        <v>66</v>
      </c>
      <c r="E58" s="248">
        <f t="shared" ref="E58:J58" si="12">SUM(E56:E57)</f>
        <v>0</v>
      </c>
      <c r="F58" s="248">
        <f t="shared" si="12"/>
        <v>0</v>
      </c>
      <c r="G58" s="248">
        <f t="shared" si="12"/>
        <v>0</v>
      </c>
      <c r="H58" s="248">
        <f t="shared" si="12"/>
        <v>0</v>
      </c>
      <c r="I58" s="248">
        <f t="shared" si="12"/>
        <v>0</v>
      </c>
      <c r="J58" s="248">
        <f t="shared" si="12"/>
        <v>0</v>
      </c>
      <c r="K58" s="248">
        <f>SUM(E58:J58)</f>
        <v>0</v>
      </c>
    </row>
    <row r="59" spans="1:11">
      <c r="D59" s="247" t="s">
        <v>67</v>
      </c>
      <c r="E59" s="248">
        <f>IF(E58&lt;=25000,E58,25000)</f>
        <v>0</v>
      </c>
      <c r="F59" s="248">
        <f>IF(E59&lt;25000,IF((E59+F58)&lt;25000,F58,25000-E59),0)</f>
        <v>0</v>
      </c>
      <c r="G59" s="248">
        <f>IF((E59+F59)&lt;25000,IF((E59+F59+G58)&lt;25000,G58,(25000-E59-F59)),0)</f>
        <v>0</v>
      </c>
      <c r="H59" s="248">
        <f>IF((E59+F59+G59)&lt;25000,IF((E59+F59+G59+H58)&lt;25000,H58,(25000-E59-F59-G59)),0)</f>
        <v>0</v>
      </c>
      <c r="I59" s="248">
        <f>IF((E59+F59+G59+H59)&lt;25000,IF((E59+F59+G59+H59+I58)&lt;25000,I58,(25000-E59-F59-G59-H59)),0)</f>
        <v>0</v>
      </c>
      <c r="J59" s="248">
        <f>IF((E59+F59+G59+H59+I59)&lt;25000,IF((E59+F59+G59+H59+I59+J58)&lt;25000,J58,(25000-E59-F59-G59-H59-I59)),0)</f>
        <v>0</v>
      </c>
      <c r="K59" s="248">
        <f>SUM(E59:J59)</f>
        <v>0</v>
      </c>
    </row>
  </sheetData>
  <sheetProtection algorithmName="SHA-512" hashValue="6KEz817t21/vnvF+EqsIpoMO93XFeki6e5IE9v0HZDjChaigiJgzozmgfqEP1TrufteZ+VJV7rrCTF9M+3HTiA==" saltValue="CCoWZ0D//6biT6Dmp+6RWA==" spinCount="100000" sheet="1" objects="1" scenarios="1"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4" tint="0.59999389629810485"/>
  </sheetPr>
  <dimension ref="A1:U44"/>
  <sheetViews>
    <sheetView zoomScale="90" zoomScaleNormal="90" workbookViewId="0">
      <selection activeCell="B35" sqref="B35"/>
    </sheetView>
  </sheetViews>
  <sheetFormatPr defaultColWidth="8.54296875" defaultRowHeight="14.5"/>
  <cols>
    <col min="1" max="1" width="12.36328125" bestFit="1" customWidth="1"/>
    <col min="3" max="3" width="11" customWidth="1"/>
    <col min="4" max="5" width="0" hidden="1" customWidth="1"/>
    <col min="6" max="6" width="12.36328125" hidden="1" customWidth="1"/>
    <col min="11" max="12" width="9.54296875" customWidth="1"/>
    <col min="14" max="14" width="0" hidden="1" customWidth="1"/>
  </cols>
  <sheetData>
    <row r="1" spans="1:21" ht="15" thickBot="1">
      <c r="A1" s="22" t="s">
        <v>49</v>
      </c>
    </row>
    <row r="2" spans="1:21" ht="15" thickTop="1">
      <c r="B2" s="58" t="s">
        <v>4</v>
      </c>
      <c r="C2" s="59"/>
      <c r="D2" s="59"/>
      <c r="E2" s="59"/>
      <c r="F2" s="59"/>
      <c r="G2" s="60"/>
      <c r="H2" s="60"/>
      <c r="I2" s="61"/>
      <c r="K2" s="332" t="s">
        <v>61</v>
      </c>
      <c r="L2" s="332" t="s">
        <v>73</v>
      </c>
      <c r="M2" s="8" t="s">
        <v>50</v>
      </c>
      <c r="N2" s="8" t="s">
        <v>51</v>
      </c>
      <c r="Q2" t="s">
        <v>146</v>
      </c>
    </row>
    <row r="3" spans="1:21">
      <c r="B3" s="324" t="s">
        <v>53</v>
      </c>
      <c r="C3" s="327" t="s">
        <v>74</v>
      </c>
      <c r="E3" s="327" t="s">
        <v>54</v>
      </c>
      <c r="F3" s="327" t="s">
        <v>75</v>
      </c>
      <c r="H3" s="330" t="s">
        <v>55</v>
      </c>
      <c r="I3" s="331"/>
      <c r="K3" s="327"/>
      <c r="L3" s="327"/>
      <c r="M3" s="7"/>
      <c r="N3" s="7"/>
      <c r="Q3">
        <v>9</v>
      </c>
      <c r="R3" t="s">
        <v>142</v>
      </c>
      <c r="T3">
        <v>2</v>
      </c>
      <c r="U3" t="s">
        <v>148</v>
      </c>
    </row>
    <row r="4" spans="1:21" ht="15" thickBot="1">
      <c r="B4" s="325"/>
      <c r="C4" s="328"/>
      <c r="D4" s="327" t="s">
        <v>3</v>
      </c>
      <c r="E4" s="328"/>
      <c r="F4" s="328"/>
      <c r="I4" s="19"/>
      <c r="K4" s="327"/>
      <c r="L4" s="333"/>
      <c r="M4" s="7"/>
      <c r="N4" s="7"/>
      <c r="Q4">
        <v>9</v>
      </c>
      <c r="R4" t="s">
        <v>107</v>
      </c>
    </row>
    <row r="5" spans="1:21" ht="15" customHeight="1" thickTop="1" thickBot="1">
      <c r="B5" s="325"/>
      <c r="C5" s="328"/>
      <c r="D5" s="327"/>
      <c r="E5" s="328"/>
      <c r="F5" s="328"/>
      <c r="I5" s="19"/>
      <c r="K5" s="10">
        <v>0.03</v>
      </c>
      <c r="L5" s="11" t="s">
        <v>135</v>
      </c>
      <c r="M5" s="205">
        <v>435</v>
      </c>
      <c r="N5" s="184"/>
      <c r="Q5" s="185">
        <v>6</v>
      </c>
      <c r="R5" s="185" t="s">
        <v>143</v>
      </c>
    </row>
    <row r="6" spans="1:21" ht="15.5" thickTop="1" thickBot="1">
      <c r="B6" s="326"/>
      <c r="C6" s="329"/>
      <c r="D6" s="327"/>
      <c r="E6" s="328"/>
      <c r="F6" s="328"/>
      <c r="I6" s="19"/>
      <c r="Q6">
        <f>SUM(Q3:Q5)</f>
        <v>24</v>
      </c>
      <c r="R6" t="s">
        <v>147</v>
      </c>
    </row>
    <row r="7" spans="1:21" ht="15.5" thickTop="1" thickBot="1">
      <c r="B7" s="53">
        <v>0</v>
      </c>
      <c r="C7" s="54">
        <v>0</v>
      </c>
      <c r="D7" s="20"/>
      <c r="E7" s="55">
        <v>0</v>
      </c>
      <c r="F7" s="55">
        <v>0</v>
      </c>
      <c r="G7" s="20"/>
      <c r="H7" s="20"/>
      <c r="I7" s="21">
        <f>IF(L5="y",((C7*M5)*(B7)+(F7*N5)*(E7))*(1+K5),(C7*M5)*(B7)+(F7*N5)*E7)</f>
        <v>0</v>
      </c>
    </row>
    <row r="8" spans="1:21" ht="6" customHeight="1" thickTop="1" thickBot="1"/>
    <row r="9" spans="1:21" ht="15" thickTop="1">
      <c r="B9" s="58" t="s">
        <v>5</v>
      </c>
      <c r="C9" s="59"/>
      <c r="D9" s="59"/>
      <c r="E9" s="59"/>
      <c r="F9" s="59"/>
      <c r="G9" s="60"/>
      <c r="H9" s="60"/>
      <c r="I9" s="61"/>
    </row>
    <row r="10" spans="1:21">
      <c r="B10" s="324" t="s">
        <v>53</v>
      </c>
      <c r="C10" s="327" t="s">
        <v>74</v>
      </c>
      <c r="E10" s="327" t="s">
        <v>54</v>
      </c>
      <c r="F10" s="327" t="s">
        <v>75</v>
      </c>
      <c r="H10" s="330" t="s">
        <v>56</v>
      </c>
      <c r="I10" s="331"/>
      <c r="K10" s="25"/>
    </row>
    <row r="11" spans="1:21" ht="15" customHeight="1">
      <c r="B11" s="325"/>
      <c r="C11" s="328"/>
      <c r="D11" s="327" t="s">
        <v>3</v>
      </c>
      <c r="E11" s="328"/>
      <c r="F11" s="328"/>
      <c r="I11" s="19"/>
    </row>
    <row r="12" spans="1:21">
      <c r="B12" s="325"/>
      <c r="C12" s="328"/>
      <c r="D12" s="327"/>
      <c r="E12" s="328"/>
      <c r="F12" s="328"/>
      <c r="I12" s="19"/>
    </row>
    <row r="13" spans="1:21" ht="15" thickBot="1">
      <c r="B13" s="326"/>
      <c r="C13" s="329"/>
      <c r="D13" s="327"/>
      <c r="E13" s="328"/>
      <c r="F13" s="328"/>
      <c r="I13" s="19"/>
    </row>
    <row r="14" spans="1:21" ht="15.5" thickTop="1" thickBot="1">
      <c r="B14" s="53">
        <v>0</v>
      </c>
      <c r="C14" s="54">
        <v>0</v>
      </c>
      <c r="D14" s="20"/>
      <c r="E14" s="55">
        <v>0</v>
      </c>
      <c r="F14" s="55">
        <v>0</v>
      </c>
      <c r="G14" s="20"/>
      <c r="H14" s="20"/>
      <c r="I14" s="21">
        <f>IF(AND(K5&gt;0,L5="y"),((C14*M5)*(B14)+(F14*N5)*(F14))*(1+K5),(C14*M5)*(B14)+(F14*N5)*E14)*(1+K5)</f>
        <v>0</v>
      </c>
    </row>
    <row r="15" spans="1:21" ht="6" customHeight="1" thickTop="1" thickBot="1"/>
    <row r="16" spans="1:21" ht="15" thickTop="1">
      <c r="B16" s="58" t="s">
        <v>52</v>
      </c>
      <c r="C16" s="59"/>
      <c r="D16" s="59"/>
      <c r="E16" s="59"/>
      <c r="F16" s="59"/>
      <c r="G16" s="60"/>
      <c r="H16" s="60"/>
      <c r="I16" s="61"/>
    </row>
    <row r="17" spans="2:9">
      <c r="B17" s="324" t="s">
        <v>53</v>
      </c>
      <c r="C17" s="327" t="s">
        <v>74</v>
      </c>
      <c r="E17" s="327" t="s">
        <v>54</v>
      </c>
      <c r="F17" s="327" t="s">
        <v>75</v>
      </c>
      <c r="H17" s="330" t="s">
        <v>57</v>
      </c>
      <c r="I17" s="331"/>
    </row>
    <row r="18" spans="2:9" ht="15" customHeight="1">
      <c r="B18" s="325"/>
      <c r="C18" s="328"/>
      <c r="D18" s="327" t="s">
        <v>3</v>
      </c>
      <c r="E18" s="328"/>
      <c r="F18" s="328"/>
      <c r="I18" s="19"/>
    </row>
    <row r="19" spans="2:9">
      <c r="B19" s="325"/>
      <c r="C19" s="328"/>
      <c r="D19" s="327"/>
      <c r="E19" s="328"/>
      <c r="F19" s="328"/>
      <c r="I19" s="19"/>
    </row>
    <row r="20" spans="2:9" ht="15" thickBot="1">
      <c r="B20" s="326"/>
      <c r="C20" s="329"/>
      <c r="D20" s="327"/>
      <c r="E20" s="328"/>
      <c r="F20" s="328"/>
      <c r="I20" s="19"/>
    </row>
    <row r="21" spans="2:9" ht="15.5" thickTop="1" thickBot="1">
      <c r="B21" s="53">
        <v>0</v>
      </c>
      <c r="C21" s="54">
        <v>0</v>
      </c>
      <c r="D21" s="20"/>
      <c r="E21" s="55">
        <v>0</v>
      </c>
      <c r="F21" s="55">
        <v>0</v>
      </c>
      <c r="G21" s="20"/>
      <c r="H21" s="20"/>
      <c r="I21" s="21">
        <f>IF(AND(K5&gt;0,L5="y"),((C21*M5)*(B21)+(F21*N5)*(F21))*(1+K5)^1,(C21*M5)*(B21)+(F21*N5)*E21)*(1+K5)^2</f>
        <v>0</v>
      </c>
    </row>
    <row r="22" spans="2:9" ht="6" customHeight="1" thickTop="1" thickBot="1"/>
    <row r="23" spans="2:9" ht="15" thickTop="1">
      <c r="B23" s="58" t="s">
        <v>47</v>
      </c>
      <c r="C23" s="59"/>
      <c r="D23" s="59"/>
      <c r="E23" s="59"/>
      <c r="F23" s="59"/>
      <c r="G23" s="60"/>
      <c r="H23" s="60"/>
      <c r="I23" s="61"/>
    </row>
    <row r="24" spans="2:9">
      <c r="B24" s="324" t="s">
        <v>53</v>
      </c>
      <c r="C24" s="327" t="s">
        <v>74</v>
      </c>
      <c r="E24" s="327" t="s">
        <v>54</v>
      </c>
      <c r="F24" s="327" t="s">
        <v>75</v>
      </c>
      <c r="H24" s="330" t="s">
        <v>58</v>
      </c>
      <c r="I24" s="331"/>
    </row>
    <row r="25" spans="2:9" ht="15" customHeight="1">
      <c r="B25" s="325"/>
      <c r="C25" s="328"/>
      <c r="D25" s="327" t="s">
        <v>3</v>
      </c>
      <c r="E25" s="328"/>
      <c r="F25" s="328"/>
      <c r="I25" s="19"/>
    </row>
    <row r="26" spans="2:9">
      <c r="B26" s="325"/>
      <c r="C26" s="328"/>
      <c r="D26" s="327"/>
      <c r="E26" s="328"/>
      <c r="F26" s="328"/>
      <c r="I26" s="19"/>
    </row>
    <row r="27" spans="2:9" ht="15" thickBot="1">
      <c r="B27" s="326"/>
      <c r="C27" s="329"/>
      <c r="D27" s="327"/>
      <c r="E27" s="328"/>
      <c r="F27" s="328"/>
      <c r="I27" s="19"/>
    </row>
    <row r="28" spans="2:9" ht="15.5" thickTop="1" thickBot="1">
      <c r="B28" s="53">
        <v>0</v>
      </c>
      <c r="C28" s="54">
        <v>0</v>
      </c>
      <c r="D28" s="20"/>
      <c r="E28" s="55">
        <v>0</v>
      </c>
      <c r="F28" s="55">
        <v>0</v>
      </c>
      <c r="G28" s="20"/>
      <c r="H28" s="20"/>
      <c r="I28" s="21">
        <f>IF(AND(K5&gt;0,L5="y"),((C28*M5)*(B28)+(F28*N5)*(F28))*(1+K5)^1,(C28*M5)*(B28)+(F28*N5)*E28)*(1+K5)^3</f>
        <v>0</v>
      </c>
    </row>
    <row r="29" spans="2:9" ht="6" customHeight="1" thickTop="1" thickBot="1"/>
    <row r="30" spans="2:9" ht="15" thickTop="1">
      <c r="B30" s="58" t="s">
        <v>48</v>
      </c>
      <c r="C30" s="59"/>
      <c r="D30" s="59"/>
      <c r="E30" s="59"/>
      <c r="F30" s="59"/>
      <c r="G30" s="60"/>
      <c r="H30" s="60"/>
      <c r="I30" s="61"/>
    </row>
    <row r="31" spans="2:9">
      <c r="B31" s="324" t="s">
        <v>53</v>
      </c>
      <c r="C31" s="327" t="s">
        <v>74</v>
      </c>
      <c r="E31" s="327" t="s">
        <v>54</v>
      </c>
      <c r="F31" s="327" t="s">
        <v>75</v>
      </c>
      <c r="H31" s="330" t="s">
        <v>59</v>
      </c>
      <c r="I31" s="331"/>
    </row>
    <row r="32" spans="2:9" ht="15" customHeight="1">
      <c r="B32" s="325"/>
      <c r="C32" s="328"/>
      <c r="D32" s="327" t="s">
        <v>3</v>
      </c>
      <c r="E32" s="328"/>
      <c r="F32" s="328"/>
      <c r="I32" s="19"/>
    </row>
    <row r="33" spans="2:9">
      <c r="B33" s="325"/>
      <c r="C33" s="328"/>
      <c r="D33" s="327"/>
      <c r="E33" s="328"/>
      <c r="F33" s="328"/>
      <c r="I33" s="19"/>
    </row>
    <row r="34" spans="2:9" ht="15" thickBot="1">
      <c r="B34" s="326"/>
      <c r="C34" s="329"/>
      <c r="D34" s="327"/>
      <c r="E34" s="328"/>
      <c r="F34" s="328"/>
      <c r="I34" s="19"/>
    </row>
    <row r="35" spans="2:9" ht="15.5" thickTop="1" thickBot="1">
      <c r="B35" s="53">
        <v>0</v>
      </c>
      <c r="C35" s="54">
        <v>0</v>
      </c>
      <c r="D35" s="20"/>
      <c r="E35" s="55">
        <v>0</v>
      </c>
      <c r="F35" s="55">
        <v>0</v>
      </c>
      <c r="G35" s="20"/>
      <c r="H35" s="20"/>
      <c r="I35" s="21">
        <f>IF(AND(K5&gt;0,L5="y"),((C35*M5)*(B35)+(F35*N5)*(F35))*(1+K5)^1,(C35*M5)*(B35)+(F35*N5)*E35)*(1+K5)^4</f>
        <v>0</v>
      </c>
    </row>
    <row r="36" spans="2:9" ht="6" customHeight="1" thickTop="1" thickBot="1">
      <c r="B36" s="75">
        <v>0</v>
      </c>
      <c r="C36" s="75">
        <v>0</v>
      </c>
      <c r="I36" s="204"/>
    </row>
    <row r="37" spans="2:9" ht="15" thickTop="1">
      <c r="B37" s="58" t="s">
        <v>97</v>
      </c>
      <c r="C37" s="59"/>
      <c r="D37" s="59"/>
      <c r="E37" s="59"/>
      <c r="F37" s="59"/>
      <c r="G37" s="60"/>
      <c r="H37" s="60"/>
      <c r="I37" s="61"/>
    </row>
    <row r="38" spans="2:9">
      <c r="B38" s="324" t="s">
        <v>53</v>
      </c>
      <c r="C38" s="327" t="s">
        <v>74</v>
      </c>
      <c r="E38" s="327" t="s">
        <v>54</v>
      </c>
      <c r="F38" s="327" t="s">
        <v>75</v>
      </c>
      <c r="H38" s="330" t="s">
        <v>98</v>
      </c>
      <c r="I38" s="331"/>
    </row>
    <row r="39" spans="2:9">
      <c r="B39" s="325"/>
      <c r="C39" s="328"/>
      <c r="D39" s="327" t="s">
        <v>3</v>
      </c>
      <c r="E39" s="328"/>
      <c r="F39" s="328"/>
      <c r="I39" s="19"/>
    </row>
    <row r="40" spans="2:9">
      <c r="B40" s="325"/>
      <c r="C40" s="328"/>
      <c r="D40" s="327"/>
      <c r="E40" s="328"/>
      <c r="F40" s="328"/>
      <c r="I40" s="19"/>
    </row>
    <row r="41" spans="2:9" ht="15" thickBot="1">
      <c r="B41" s="326"/>
      <c r="C41" s="329"/>
      <c r="D41" s="327"/>
      <c r="E41" s="328"/>
      <c r="F41" s="328"/>
      <c r="I41" s="19"/>
    </row>
    <row r="42" spans="2:9" ht="15.5" thickTop="1" thickBot="1">
      <c r="B42" s="53">
        <v>0</v>
      </c>
      <c r="C42" s="54">
        <v>0</v>
      </c>
      <c r="D42" s="20"/>
      <c r="E42" s="55">
        <v>0</v>
      </c>
      <c r="F42" s="55">
        <v>0</v>
      </c>
      <c r="G42" s="20"/>
      <c r="H42" s="20"/>
      <c r="I42" s="21">
        <f>IF(AND(K5&gt;0,L5="y"),((C42*M5)*(B42)+(F42*N5)*(F42))*(1+K5)^1,(C42*M5)*(B42)+(F42*N5)*E42)*(1+K5)^5</f>
        <v>0</v>
      </c>
    </row>
    <row r="43" spans="2:9" ht="6" customHeight="1" thickTop="1">
      <c r="B43" s="75"/>
      <c r="C43" s="75"/>
      <c r="I43" s="204"/>
    </row>
    <row r="44" spans="2:9">
      <c r="H44" s="179" t="s">
        <v>60</v>
      </c>
      <c r="I44" s="9">
        <f>SUM(I7,I14,I21,I28,I35,I42)</f>
        <v>0</v>
      </c>
    </row>
  </sheetData>
  <sheetProtection algorithmName="SHA-512" hashValue="i/mNT20KxHBfazIrA9zOGuibGn9J4p3eJ99vSOOT5w3SBTB/Yqdj3PiV5zOPsgYlHWmBeYLpSKMUOOBvC0e7Mw==" saltValue="GFZa8tLpHhaBQaVdHNKUSg==" spinCount="100000" sheet="1" objects="1" scenarios="1" selectLockedCells="1"/>
  <mergeCells count="38">
    <mergeCell ref="L2:L4"/>
    <mergeCell ref="H17:I17"/>
    <mergeCell ref="D18:D20"/>
    <mergeCell ref="H10:I10"/>
    <mergeCell ref="F17:F20"/>
    <mergeCell ref="K2:K4"/>
    <mergeCell ref="F10:F13"/>
    <mergeCell ref="B3:B6"/>
    <mergeCell ref="C3:C6"/>
    <mergeCell ref="E3:E6"/>
    <mergeCell ref="F3:F6"/>
    <mergeCell ref="H3:I3"/>
    <mergeCell ref="D4:D6"/>
    <mergeCell ref="B10:B13"/>
    <mergeCell ref="C10:C13"/>
    <mergeCell ref="E10:E13"/>
    <mergeCell ref="D11:D13"/>
    <mergeCell ref="B17:B20"/>
    <mergeCell ref="C17:C20"/>
    <mergeCell ref="E17:E20"/>
    <mergeCell ref="B31:B34"/>
    <mergeCell ref="C31:C34"/>
    <mergeCell ref="E31:E34"/>
    <mergeCell ref="F31:F34"/>
    <mergeCell ref="H31:I31"/>
    <mergeCell ref="D32:D34"/>
    <mergeCell ref="B24:B27"/>
    <mergeCell ref="C24:C27"/>
    <mergeCell ref="E24:E27"/>
    <mergeCell ref="F24:F27"/>
    <mergeCell ref="H24:I24"/>
    <mergeCell ref="D25:D27"/>
    <mergeCell ref="B38:B41"/>
    <mergeCell ref="C38:C41"/>
    <mergeCell ref="E38:E41"/>
    <mergeCell ref="F38:F41"/>
    <mergeCell ref="H38:I38"/>
    <mergeCell ref="D39:D41"/>
  </mergeCells>
  <dataValidations count="1">
    <dataValidation type="list" allowBlank="1" showInputMessage="1" showErrorMessage="1" sqref="L5" xr:uid="{00000000-0002-0000-0300-000000000000}">
      <formula1>"y,n"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2A6E-23D2-4694-B694-DEE1FEE2DE4F}">
  <sheetPr>
    <tabColor theme="4" tint="0.59999389629810485"/>
  </sheetPr>
  <dimension ref="A1:H20"/>
  <sheetViews>
    <sheetView workbookViewId="0">
      <selection activeCell="B8" sqref="B8"/>
    </sheetView>
  </sheetViews>
  <sheetFormatPr defaultRowHeight="14.5"/>
  <cols>
    <col min="1" max="1" width="24" bestFit="1" customWidth="1"/>
    <col min="2" max="2" width="12.1796875" bestFit="1" customWidth="1"/>
    <col min="3" max="8" width="12.1796875" customWidth="1"/>
  </cols>
  <sheetData>
    <row r="1" spans="1:8">
      <c r="A1" s="177" t="s">
        <v>100</v>
      </c>
      <c r="B1" s="168"/>
      <c r="C1" s="168"/>
      <c r="D1" s="201"/>
      <c r="E1" s="168" t="s">
        <v>101</v>
      </c>
      <c r="F1" s="168"/>
      <c r="G1" s="201"/>
      <c r="H1" s="169" t="s">
        <v>102</v>
      </c>
    </row>
    <row r="2" spans="1:8">
      <c r="A2" s="74"/>
      <c r="D2" s="203"/>
      <c r="G2" s="202"/>
      <c r="H2" s="170"/>
    </row>
    <row r="3" spans="1:8">
      <c r="A3" s="74"/>
      <c r="D3" s="23"/>
      <c r="G3" s="178"/>
      <c r="H3" s="170"/>
    </row>
    <row r="4" spans="1:8">
      <c r="A4" s="74" t="s">
        <v>103</v>
      </c>
      <c r="B4" s="202"/>
      <c r="D4" s="178">
        <f>IF(AND(D2&gt;=0,D1="-"),B4*(1-D2),IF(AND(D2&gt;=0,D1="+"),(1+D2)*B4,0))</f>
        <v>0</v>
      </c>
      <c r="E4" s="178">
        <f>IF(AND(D1&lt;&gt;"",D2&gt;=0),D4-B4,0)</f>
        <v>0</v>
      </c>
      <c r="G4" s="178">
        <f>IF(AND(G1="-",G2&gt;=0),B4-G2,IF(AND(G1="+",G2&gt;=0),B4+G2,0))</f>
        <v>0</v>
      </c>
      <c r="H4" s="171" t="str">
        <f>IF(AND(G1&lt;&gt;"",G2&gt;=0),G2/B4*-1,"-")</f>
        <v>-</v>
      </c>
    </row>
    <row r="5" spans="1:8">
      <c r="A5" s="74" t="s">
        <v>104</v>
      </c>
      <c r="B5" s="203"/>
      <c r="D5" s="203"/>
      <c r="E5" s="23" t="str">
        <f>IF(AND(D1&lt;&gt;"",D2&gt;=0),D5-B5,"-")</f>
        <v>-</v>
      </c>
      <c r="G5" s="203"/>
      <c r="H5" s="171" t="str">
        <f>IF(AND(G1&lt;&gt;"",G2&gt;=0),G5-B5,"-")</f>
        <v>-</v>
      </c>
    </row>
    <row r="6" spans="1:8">
      <c r="A6" s="74" t="s">
        <v>67</v>
      </c>
      <c r="B6" s="178">
        <f>IF(B8&lt;&gt;0,(B4-B8)/(1+B5),B4/(1+B5))</f>
        <v>0</v>
      </c>
      <c r="D6" s="178">
        <f>IF(D8&lt;&gt;0,(D4-D8)/(1+D5),D4/(1+D5))</f>
        <v>0</v>
      </c>
      <c r="E6" s="178">
        <f>IF(AND(D1&lt;&gt;"",D2&gt;=0),D6-B6,0)</f>
        <v>0</v>
      </c>
      <c r="G6" s="178">
        <f>IF(G8&lt;&gt;0,(G4-G8)/(1+G5),G4/(1+G5))</f>
        <v>0</v>
      </c>
      <c r="H6" s="172">
        <f>IF(AND(G1&lt;&gt;"",G2&gt;=0),G6-B6,0)</f>
        <v>0</v>
      </c>
    </row>
    <row r="7" spans="1:8">
      <c r="A7" s="74" t="s">
        <v>105</v>
      </c>
      <c r="B7" s="178">
        <f>B6*B5</f>
        <v>0</v>
      </c>
      <c r="D7" s="178">
        <f>D6*D5</f>
        <v>0</v>
      </c>
      <c r="E7" s="178">
        <f>IF(AND(D1&lt;&gt;"",D2&gt;=0),D7-B7,)</f>
        <v>0</v>
      </c>
      <c r="G7" s="178">
        <f>G6*G5</f>
        <v>0</v>
      </c>
      <c r="H7" s="172">
        <f>IF(AND(G1&lt;&gt;"",G2&gt;=0),G7-B7,0)</f>
        <v>0</v>
      </c>
    </row>
    <row r="8" spans="1:8">
      <c r="A8" s="74" t="s">
        <v>106</v>
      </c>
      <c r="B8" s="202"/>
      <c r="D8" s="202"/>
      <c r="E8" s="178">
        <f>IF(D2&gt;=0,D8-B8,0)</f>
        <v>0</v>
      </c>
      <c r="G8" s="202"/>
      <c r="H8" s="172">
        <f>IF(G2&gt;=0,G8-B8,0)</f>
        <v>0</v>
      </c>
    </row>
    <row r="9" spans="1:8" ht="15" thickBot="1">
      <c r="A9" s="173"/>
      <c r="B9" s="174">
        <f>SUM(B6:B8)</f>
        <v>0</v>
      </c>
      <c r="C9" s="175"/>
      <c r="D9" s="174">
        <f>SUM(D6:D8)</f>
        <v>0</v>
      </c>
      <c r="E9" s="174">
        <f>IF(AND(D1&lt;&gt;"",D2&gt;=0),D9-B9,0)</f>
        <v>0</v>
      </c>
      <c r="F9" s="175"/>
      <c r="G9" s="174">
        <f>SUM(G6:G8)</f>
        <v>0</v>
      </c>
      <c r="H9" s="176">
        <f>IF(AND(G1&lt;&gt;"",G2&gt;=0),G9-B9,0)</f>
        <v>0</v>
      </c>
    </row>
    <row r="11" spans="1:8" ht="15" thickBot="1"/>
    <row r="12" spans="1:8">
      <c r="A12" s="177" t="s">
        <v>67</v>
      </c>
      <c r="B12" s="168"/>
      <c r="C12" s="168"/>
      <c r="D12" s="201"/>
      <c r="E12" s="168" t="s">
        <v>101</v>
      </c>
      <c r="F12" s="168"/>
      <c r="G12" s="201"/>
      <c r="H12" s="169" t="s">
        <v>102</v>
      </c>
    </row>
    <row r="13" spans="1:8">
      <c r="A13" s="74"/>
      <c r="D13" s="203"/>
      <c r="G13" s="202"/>
      <c r="H13" s="170"/>
    </row>
    <row r="14" spans="1:8">
      <c r="A14" s="74"/>
      <c r="D14" s="23"/>
      <c r="G14" s="178"/>
      <c r="H14" s="170"/>
    </row>
    <row r="15" spans="1:8">
      <c r="A15" s="74" t="s">
        <v>103</v>
      </c>
      <c r="B15" s="178">
        <f>B17*(1+B16)+B19</f>
        <v>0</v>
      </c>
      <c r="D15" s="178">
        <f>D17*(1+D16)+D19</f>
        <v>0</v>
      </c>
      <c r="E15" s="178">
        <f>IF(AND(D12&lt;&gt;"",D13&gt;=0),D15-B15,0)</f>
        <v>0</v>
      </c>
      <c r="G15" s="178">
        <f>G17*(1+G16)+G19</f>
        <v>0</v>
      </c>
      <c r="H15" s="171" t="str">
        <f>IF(AND(D12&lt;&gt;"",G13&gt;=0),G13/B15*-1,"-")</f>
        <v>-</v>
      </c>
    </row>
    <row r="16" spans="1:8">
      <c r="A16" s="74" t="s">
        <v>104</v>
      </c>
      <c r="B16" s="203"/>
      <c r="D16" s="203"/>
      <c r="E16" s="23" t="str">
        <f>IF(AND(D12&lt;&gt;"",D13&gt;=0),D16-B16,"-")</f>
        <v>-</v>
      </c>
      <c r="G16" s="203"/>
      <c r="H16" s="171" t="str">
        <f>IF(AND(D12&lt;&gt;"",G13&gt;=0),G16-B16,"-")</f>
        <v>-</v>
      </c>
    </row>
    <row r="17" spans="1:8">
      <c r="A17" s="74" t="s">
        <v>67</v>
      </c>
      <c r="B17" s="202"/>
      <c r="D17" s="178">
        <f>IF(D12="-",B17*(1-D13),IF(D12="+",B17*(1+D13),0))</f>
        <v>0</v>
      </c>
      <c r="E17" s="178">
        <f>IF(AND(D12&lt;&gt;"",D13&gt;=0),D17-B17,0)</f>
        <v>0</v>
      </c>
      <c r="G17" s="178">
        <f>IF(G12="-",B17-G13,IF(G12="+",B17+G13,0))</f>
        <v>0</v>
      </c>
      <c r="H17" s="172">
        <f>IF(AND(D12&lt;&gt;"",G13&gt;=0),G17-B17,0)</f>
        <v>0</v>
      </c>
    </row>
    <row r="18" spans="1:8">
      <c r="A18" s="74" t="s">
        <v>105</v>
      </c>
      <c r="B18" s="178">
        <f>B17*B16</f>
        <v>0</v>
      </c>
      <c r="D18" s="178">
        <f>D17*D16</f>
        <v>0</v>
      </c>
      <c r="E18" s="178">
        <f>IF(AND(D12&lt;&gt;"",D13&gt;=0),D18-B18,)</f>
        <v>0</v>
      </c>
      <c r="G18" s="178">
        <f>G17*G16</f>
        <v>0</v>
      </c>
      <c r="H18" s="172">
        <f>IF(AND(D12&lt;&gt;"",G13&gt;=0),G18-B18,0)</f>
        <v>0</v>
      </c>
    </row>
    <row r="19" spans="1:8">
      <c r="A19" s="74" t="s">
        <v>106</v>
      </c>
      <c r="B19" s="202"/>
      <c r="D19" s="202"/>
      <c r="E19" s="178">
        <f>IF(D13&gt;=0,D19-B19,0)</f>
        <v>0</v>
      </c>
      <c r="G19" s="202"/>
      <c r="H19" s="172">
        <f>IF(G13&gt;=0,G19-B19,0)</f>
        <v>0</v>
      </c>
    </row>
    <row r="20" spans="1:8" ht="15" thickBot="1">
      <c r="A20" s="173"/>
      <c r="B20" s="174">
        <f>SUM(B17:B19)</f>
        <v>0</v>
      </c>
      <c r="C20" s="175"/>
      <c r="D20" s="174">
        <f>SUM(D17:D19)</f>
        <v>0</v>
      </c>
      <c r="E20" s="174">
        <f>IF(AND(D12&lt;&gt;"",D13&gt;=0),D20-B20,0)</f>
        <v>0</v>
      </c>
      <c r="F20" s="175"/>
      <c r="G20" s="174">
        <f>SUM(G17:G19)</f>
        <v>0</v>
      </c>
      <c r="H20" s="176">
        <f>IF(AND(D12&lt;&gt;"",G13&gt;=0),G20-B20,0)</f>
        <v>0</v>
      </c>
    </row>
  </sheetData>
  <sheetProtection algorithmName="SHA-512" hashValue="2oDsztjDUOBu0rJIxyDmaflgiOSDJfszzJzlFNOufSg7ordZBe1Yshx29kvWmaIt+yhNl42gv4XsB0pxuTuwPQ==" saltValue="wHtJA07T2eeIUcoSdfRB5Q==" spinCount="100000" sheet="1" objects="1" scenarios="1" selectLockedCells="1"/>
  <dataValidations count="1">
    <dataValidation type="list" allowBlank="1" showInputMessage="1" showErrorMessage="1" sqref="D1 G1 D12 G12" xr:uid="{3FB915DF-313F-4E4A-AC0E-F271B1498237}">
      <formula1>"+,-"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D8C3-741D-4A65-B511-723ED3E47ECB}">
  <sheetPr>
    <tabColor rgb="FFFFFF00"/>
  </sheetPr>
  <dimension ref="A1:AF160"/>
  <sheetViews>
    <sheetView topLeftCell="A15" workbookViewId="0">
      <selection activeCell="G50" sqref="G50"/>
    </sheetView>
  </sheetViews>
  <sheetFormatPr defaultColWidth="41.453125" defaultRowHeight="13"/>
  <cols>
    <col min="1" max="1" width="53" style="40" customWidth="1"/>
    <col min="2" max="6" width="10.453125" style="32" customWidth="1"/>
    <col min="7" max="16384" width="41.453125" style="32"/>
  </cols>
  <sheetData>
    <row r="1" spans="1:32" s="26" customFormat="1" ht="14.5" thickBot="1">
      <c r="A1" s="334" t="s">
        <v>108</v>
      </c>
      <c r="B1" s="335"/>
      <c r="C1" s="33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7"/>
      <c r="AF1" s="27"/>
    </row>
    <row r="2" spans="1:32" ht="14">
      <c r="A2" s="195"/>
      <c r="B2" s="196"/>
      <c r="C2" s="196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30"/>
      <c r="AB2" s="29"/>
      <c r="AC2" s="31"/>
      <c r="AD2" s="29"/>
    </row>
    <row r="3" spans="1:32" ht="15.5">
      <c r="A3" s="33" t="s">
        <v>109</v>
      </c>
      <c r="B3" s="34" t="s">
        <v>189</v>
      </c>
      <c r="C3" s="35"/>
    </row>
    <row r="4" spans="1:32" ht="8.25" customHeight="1">
      <c r="A4" s="33"/>
      <c r="B4" s="34"/>
      <c r="C4" s="35"/>
    </row>
    <row r="5" spans="1:32" ht="8.25" customHeight="1">
      <c r="A5" s="36"/>
      <c r="B5" s="37"/>
      <c r="D5"/>
      <c r="E5"/>
    </row>
    <row r="6" spans="1:32" ht="15.5">
      <c r="A6" s="38" t="s">
        <v>29</v>
      </c>
      <c r="B6" s="37"/>
      <c r="D6"/>
      <c r="E6"/>
    </row>
    <row r="7" spans="1:32" ht="14.5">
      <c r="A7" s="39" t="s">
        <v>110</v>
      </c>
      <c r="D7"/>
      <c r="E7"/>
    </row>
    <row r="8" spans="1:32" ht="14.5">
      <c r="A8" s="39" t="s">
        <v>111</v>
      </c>
      <c r="D8"/>
      <c r="E8"/>
    </row>
    <row r="9" spans="1:32" ht="14.5">
      <c r="A9" s="39" t="s">
        <v>112</v>
      </c>
      <c r="D9"/>
      <c r="E9"/>
    </row>
    <row r="10" spans="1:32" ht="14.5">
      <c r="A10" s="39" t="s">
        <v>113</v>
      </c>
      <c r="D10"/>
      <c r="E10"/>
    </row>
    <row r="11" spans="1:32" ht="14.5">
      <c r="A11" s="39" t="s">
        <v>114</v>
      </c>
      <c r="D11"/>
      <c r="E11"/>
    </row>
    <row r="12" spans="1:32" ht="14.5">
      <c r="D12"/>
      <c r="E12"/>
    </row>
    <row r="13" spans="1:32" ht="14.5">
      <c r="A13" s="41" t="s">
        <v>115</v>
      </c>
      <c r="D13"/>
      <c r="E13"/>
    </row>
    <row r="14" spans="1:32" ht="14.5">
      <c r="A14" s="39" t="s">
        <v>116</v>
      </c>
      <c r="D14"/>
      <c r="E14"/>
    </row>
    <row r="15" spans="1:32" ht="14.5">
      <c r="A15" s="39" t="s">
        <v>117</v>
      </c>
      <c r="D15"/>
      <c r="E15"/>
    </row>
    <row r="16" spans="1:32" ht="14.5">
      <c r="A16" s="39" t="s">
        <v>118</v>
      </c>
      <c r="D16"/>
      <c r="E16"/>
    </row>
    <row r="17" spans="1:6" ht="14.5">
      <c r="A17" s="39" t="s">
        <v>119</v>
      </c>
      <c r="D17"/>
      <c r="E17"/>
    </row>
    <row r="18" spans="1:6" ht="14.5">
      <c r="A18" s="39" t="s">
        <v>120</v>
      </c>
      <c r="D18"/>
      <c r="E18"/>
    </row>
    <row r="19" spans="1:6" ht="12.5">
      <c r="A19" s="39" t="s">
        <v>121</v>
      </c>
    </row>
    <row r="20" spans="1:6" ht="16.5" customHeight="1"/>
    <row r="21" spans="1:6" ht="8.25" customHeight="1">
      <c r="A21" s="42"/>
    </row>
    <row r="22" spans="1:6">
      <c r="A22" s="41" t="s">
        <v>122</v>
      </c>
    </row>
    <row r="23" spans="1:6" ht="12.5">
      <c r="A23" s="39" t="s">
        <v>123</v>
      </c>
    </row>
    <row r="24" spans="1:6" ht="12.5">
      <c r="A24" s="39" t="s">
        <v>124</v>
      </c>
    </row>
    <row r="25" spans="1:6" ht="12.5">
      <c r="A25" s="39" t="s">
        <v>125</v>
      </c>
    </row>
    <row r="26" spans="1:6" ht="12.5">
      <c r="A26" s="39" t="s">
        <v>126</v>
      </c>
    </row>
    <row r="27" spans="1:6" ht="12.5">
      <c r="A27" s="39" t="s">
        <v>127</v>
      </c>
    </row>
    <row r="28" spans="1:6" ht="12.5">
      <c r="A28" s="43"/>
    </row>
    <row r="29" spans="1:6">
      <c r="A29" s="41" t="s">
        <v>196</v>
      </c>
      <c r="B29" s="44" t="s">
        <v>4</v>
      </c>
      <c r="C29" s="44" t="s">
        <v>5</v>
      </c>
      <c r="D29" s="44" t="s">
        <v>52</v>
      </c>
      <c r="E29" s="44" t="s">
        <v>47</v>
      </c>
      <c r="F29" s="44" t="s">
        <v>48</v>
      </c>
    </row>
    <row r="30" spans="1:6" ht="12.5">
      <c r="A30" s="39" t="s">
        <v>113</v>
      </c>
      <c r="B30" s="263">
        <v>0.32200000000000001</v>
      </c>
      <c r="C30" s="263">
        <v>0.33166000000000001</v>
      </c>
      <c r="D30" s="263">
        <v>0.34160980000000002</v>
      </c>
      <c r="E30" s="263">
        <v>0.35185809400000001</v>
      </c>
      <c r="F30" s="263">
        <v>0.36241383682</v>
      </c>
    </row>
    <row r="31" spans="1:6" ht="12.5">
      <c r="A31" s="39" t="s">
        <v>190</v>
      </c>
      <c r="B31" s="263">
        <v>0.39500000000000002</v>
      </c>
      <c r="C31" s="263">
        <v>0.40685000000000004</v>
      </c>
      <c r="D31" s="263">
        <v>0.41905550000000008</v>
      </c>
      <c r="E31" s="263">
        <v>0.43162716500000009</v>
      </c>
      <c r="F31" s="263">
        <v>0.44457597995000009</v>
      </c>
    </row>
    <row r="32" spans="1:6" ht="12.5">
      <c r="A32" s="39" t="s">
        <v>191</v>
      </c>
      <c r="B32" s="263">
        <v>0.52700000000000002</v>
      </c>
      <c r="C32" s="263">
        <v>0.54281000000000001</v>
      </c>
      <c r="D32" s="263">
        <v>0.55909430000000004</v>
      </c>
      <c r="E32" s="263">
        <v>0.57586712900000003</v>
      </c>
      <c r="F32" s="263">
        <v>0.59314314287000003</v>
      </c>
    </row>
    <row r="33" spans="1:6" ht="12.5">
      <c r="A33" s="39" t="s">
        <v>192</v>
      </c>
      <c r="B33" s="264">
        <v>6.3E-2</v>
      </c>
      <c r="C33" s="263">
        <v>6.4890000000000003E-2</v>
      </c>
      <c r="D33" s="263">
        <v>6.6836699999999999E-2</v>
      </c>
      <c r="E33" s="263">
        <v>6.8841800999999994E-2</v>
      </c>
      <c r="F33" s="263">
        <v>7.0907055029999999E-2</v>
      </c>
    </row>
    <row r="34" spans="1:6" ht="12.5">
      <c r="A34" s="39" t="s">
        <v>193</v>
      </c>
      <c r="B34" s="264">
        <v>0.127</v>
      </c>
      <c r="C34" s="263">
        <v>0.13081000000000001</v>
      </c>
      <c r="D34" s="263">
        <v>0.1347343</v>
      </c>
      <c r="E34" s="263">
        <v>0.138776329</v>
      </c>
      <c r="F34" s="263">
        <v>0.14293961887000001</v>
      </c>
    </row>
    <row r="35" spans="1:6" ht="12.5">
      <c r="A35" s="39" t="s">
        <v>194</v>
      </c>
      <c r="B35" s="264">
        <v>0.03</v>
      </c>
      <c r="C35" s="263">
        <v>3.09E-2</v>
      </c>
      <c r="D35" s="263">
        <v>3.1827000000000001E-2</v>
      </c>
      <c r="E35" s="263">
        <v>3.2781810000000002E-2</v>
      </c>
      <c r="F35" s="263">
        <v>3.37652643E-2</v>
      </c>
    </row>
    <row r="36" spans="1:6" ht="12.5">
      <c r="A36" s="39" t="s">
        <v>195</v>
      </c>
      <c r="B36" s="264">
        <v>7.6999999999999999E-2</v>
      </c>
      <c r="C36" s="263">
        <v>7.9310000000000005E-2</v>
      </c>
      <c r="D36" s="263">
        <v>8.1689300000000006E-2</v>
      </c>
      <c r="E36" s="263">
        <v>8.4139979000000004E-2</v>
      </c>
      <c r="F36" s="263">
        <v>8.6664178370000011E-2</v>
      </c>
    </row>
    <row r="37" spans="1:6" ht="16.5" customHeight="1">
      <c r="A37" s="39" t="s">
        <v>128</v>
      </c>
      <c r="B37" s="265">
        <v>0</v>
      </c>
    </row>
    <row r="38" spans="1:6" ht="8.25" customHeight="1">
      <c r="A38" s="39"/>
    </row>
    <row r="39" spans="1:6" ht="8.25" customHeight="1">
      <c r="A39" s="39"/>
    </row>
    <row r="40" spans="1:6" ht="8.25" customHeight="1">
      <c r="A40" s="39"/>
    </row>
    <row r="41" spans="1:6">
      <c r="A41" s="41" t="s">
        <v>49</v>
      </c>
      <c r="B41" s="32">
        <v>431.43</v>
      </c>
    </row>
    <row r="42" spans="1:6" ht="12.5">
      <c r="A42" s="39" t="s">
        <v>129</v>
      </c>
    </row>
    <row r="43" spans="1:6" ht="12.5">
      <c r="A43" s="39" t="s">
        <v>130</v>
      </c>
      <c r="B43" s="32">
        <v>877.17</v>
      </c>
    </row>
    <row r="44" spans="1:6" ht="12.5">
      <c r="A44" s="39" t="s">
        <v>3</v>
      </c>
      <c r="B44" s="45" t="s">
        <v>3</v>
      </c>
    </row>
    <row r="45" spans="1:6" ht="12.5">
      <c r="A45" s="39"/>
      <c r="B45" s="45"/>
    </row>
    <row r="46" spans="1:6" ht="14.5">
      <c r="A46" s="46"/>
    </row>
    <row r="47" spans="1:6" ht="14.5">
      <c r="A47" s="46"/>
    </row>
    <row r="48" spans="1:6" ht="14.5">
      <c r="A48" s="46"/>
    </row>
    <row r="49" spans="1:1" ht="14.5">
      <c r="A49" s="46"/>
    </row>
    <row r="50" spans="1:1" ht="14.5">
      <c r="A50" s="46"/>
    </row>
    <row r="51" spans="1:1" ht="14.5">
      <c r="A51" s="46"/>
    </row>
    <row r="52" spans="1:1" ht="14.5">
      <c r="A52" s="46"/>
    </row>
    <row r="53" spans="1:1" ht="14.5">
      <c r="A53" s="46"/>
    </row>
    <row r="54" spans="1:1" ht="14.5">
      <c r="A54" s="46"/>
    </row>
    <row r="55" spans="1:1" ht="14.5">
      <c r="A55" s="46"/>
    </row>
    <row r="56" spans="1:1" ht="14.5">
      <c r="A56" s="46"/>
    </row>
    <row r="57" spans="1:1" ht="14.5">
      <c r="A57" s="46"/>
    </row>
    <row r="58" spans="1:1" ht="14.5">
      <c r="A58" s="46"/>
    </row>
    <row r="59" spans="1:1" ht="14.5">
      <c r="A59" s="46"/>
    </row>
    <row r="60" spans="1:1" ht="14.5">
      <c r="A60" s="46"/>
    </row>
    <row r="61" spans="1:1" ht="14.5">
      <c r="A61" s="46"/>
    </row>
    <row r="62" spans="1:1" ht="14.5">
      <c r="A62" s="46"/>
    </row>
    <row r="63" spans="1:1" ht="14.5">
      <c r="A63" s="46"/>
    </row>
    <row r="64" spans="1:1" ht="14.5">
      <c r="A64" s="46"/>
    </row>
    <row r="65" spans="1:1" ht="14.5">
      <c r="A65" s="46"/>
    </row>
    <row r="66" spans="1:1" ht="14.5">
      <c r="A66" s="46"/>
    </row>
    <row r="67" spans="1:1" ht="14.5">
      <c r="A67" s="46"/>
    </row>
    <row r="68" spans="1:1" ht="14.5">
      <c r="A68" s="46"/>
    </row>
    <row r="69" spans="1:1" ht="14.5">
      <c r="A69" s="46"/>
    </row>
    <row r="70" spans="1:1" ht="12.5">
      <c r="A70" s="43"/>
    </row>
    <row r="71" spans="1:1" ht="14.5">
      <c r="A71" s="46"/>
    </row>
    <row r="72" spans="1:1" ht="14.5">
      <c r="A72" s="46"/>
    </row>
    <row r="73" spans="1:1" ht="14.5">
      <c r="A73" s="46"/>
    </row>
    <row r="74" spans="1:1" ht="14.5">
      <c r="A74" s="46"/>
    </row>
    <row r="75" spans="1:1" ht="14.5">
      <c r="A75" s="46"/>
    </row>
    <row r="76" spans="1:1" ht="14.5">
      <c r="A76" s="46"/>
    </row>
    <row r="77" spans="1:1" ht="14.5">
      <c r="A77" s="46"/>
    </row>
    <row r="78" spans="1:1" ht="14.5">
      <c r="A78" s="46"/>
    </row>
    <row r="79" spans="1:1" ht="14.5">
      <c r="A79" s="46"/>
    </row>
    <row r="80" spans="1:1" ht="14.5">
      <c r="A80" s="46"/>
    </row>
    <row r="81" spans="1:1" ht="14.5">
      <c r="A81" s="46"/>
    </row>
    <row r="82" spans="1:1" ht="14.5">
      <c r="A82" s="46"/>
    </row>
    <row r="83" spans="1:1" ht="14.5">
      <c r="A83" s="46"/>
    </row>
    <row r="84" spans="1:1" ht="14.5">
      <c r="A84" s="46"/>
    </row>
    <row r="85" spans="1:1" ht="14.5">
      <c r="A85" s="46"/>
    </row>
    <row r="86" spans="1:1" ht="14.5">
      <c r="A86" s="46"/>
    </row>
    <row r="87" spans="1:1" ht="14.5">
      <c r="A87" s="46"/>
    </row>
    <row r="88" spans="1:1" ht="14.5">
      <c r="A88" s="46"/>
    </row>
    <row r="89" spans="1:1" ht="14.5">
      <c r="A89" s="46"/>
    </row>
    <row r="90" spans="1:1" ht="14.5">
      <c r="A90" s="46"/>
    </row>
    <row r="91" spans="1:1" ht="14.5">
      <c r="A91" s="46"/>
    </row>
    <row r="92" spans="1:1" ht="14.5">
      <c r="A92" s="46"/>
    </row>
    <row r="93" spans="1:1" ht="14.5">
      <c r="A93" s="46"/>
    </row>
    <row r="94" spans="1:1" ht="14.5">
      <c r="A94" s="46"/>
    </row>
    <row r="95" spans="1:1" ht="14.5">
      <c r="A95" s="46"/>
    </row>
    <row r="96" spans="1:1" ht="14.5">
      <c r="A96" s="46"/>
    </row>
    <row r="97" spans="1:1" ht="14.5">
      <c r="A97" s="46"/>
    </row>
    <row r="98" spans="1:1" ht="14.5">
      <c r="A98" s="46"/>
    </row>
    <row r="99" spans="1:1" ht="14.5">
      <c r="A99" s="46"/>
    </row>
    <row r="100" spans="1:1" ht="14.5">
      <c r="A100" s="46"/>
    </row>
    <row r="101" spans="1:1" ht="14.5">
      <c r="A101" s="46"/>
    </row>
    <row r="102" spans="1:1" ht="14.5">
      <c r="A102" s="46"/>
    </row>
    <row r="103" spans="1:1" ht="14.5">
      <c r="A103" s="46"/>
    </row>
    <row r="104" spans="1:1" ht="14.5">
      <c r="A104" s="46"/>
    </row>
    <row r="105" spans="1:1" ht="14.5">
      <c r="A105" s="46"/>
    </row>
    <row r="106" spans="1:1" ht="14.5">
      <c r="A106" s="46"/>
    </row>
    <row r="107" spans="1:1" ht="14.5">
      <c r="A107" s="46"/>
    </row>
    <row r="108" spans="1:1" ht="14.5">
      <c r="A108" s="46"/>
    </row>
    <row r="109" spans="1:1" ht="14.5">
      <c r="A109" s="46"/>
    </row>
    <row r="110" spans="1:1" ht="14.5">
      <c r="A110" s="46"/>
    </row>
    <row r="111" spans="1:1" ht="14.5">
      <c r="A111" s="46"/>
    </row>
    <row r="112" spans="1:1" ht="14.5">
      <c r="A112" s="46"/>
    </row>
    <row r="113" spans="1:1" ht="14.5">
      <c r="A113" s="46"/>
    </row>
    <row r="114" spans="1:1" ht="14.5">
      <c r="A114" s="46"/>
    </row>
    <row r="115" spans="1:1" ht="12.5">
      <c r="A115" s="43"/>
    </row>
    <row r="116" spans="1:1" ht="14.5">
      <c r="A116" s="46"/>
    </row>
    <row r="117" spans="1:1" ht="14.5">
      <c r="A117" s="46"/>
    </row>
    <row r="118" spans="1:1" ht="14.5">
      <c r="A118" s="46"/>
    </row>
    <row r="119" spans="1:1" ht="14.5">
      <c r="A119" s="46"/>
    </row>
    <row r="120" spans="1:1" ht="14.5">
      <c r="A120" s="46"/>
    </row>
    <row r="121" spans="1:1" ht="14.5">
      <c r="A121" s="46"/>
    </row>
    <row r="122" spans="1:1" ht="14.5">
      <c r="A122" s="46"/>
    </row>
    <row r="123" spans="1:1" ht="14.5">
      <c r="A123" s="46"/>
    </row>
    <row r="124" spans="1:1" ht="14.5">
      <c r="A124" s="46"/>
    </row>
    <row r="125" spans="1:1" ht="14.5">
      <c r="A125" s="46"/>
    </row>
    <row r="126" spans="1:1" ht="14.5">
      <c r="A126" s="46"/>
    </row>
    <row r="127" spans="1:1" ht="14.5">
      <c r="A127" s="46"/>
    </row>
    <row r="128" spans="1:1" ht="14.5">
      <c r="A128" s="46"/>
    </row>
    <row r="129" spans="1:1" ht="14.5">
      <c r="A129" s="46"/>
    </row>
    <row r="130" spans="1:1" ht="14.5">
      <c r="A130" s="46"/>
    </row>
    <row r="131" spans="1:1" ht="14.5">
      <c r="A131" s="46"/>
    </row>
    <row r="132" spans="1:1" ht="14.5">
      <c r="A132" s="46"/>
    </row>
    <row r="133" spans="1:1" ht="14.5">
      <c r="A133" s="46"/>
    </row>
    <row r="134" spans="1:1" ht="14.5">
      <c r="A134" s="46"/>
    </row>
    <row r="135" spans="1:1" ht="14.5">
      <c r="A135" s="46"/>
    </row>
    <row r="136" spans="1:1" ht="14.5">
      <c r="A136" s="46"/>
    </row>
    <row r="137" spans="1:1" ht="14.5">
      <c r="A137" s="46"/>
    </row>
    <row r="138" spans="1:1" ht="14.5">
      <c r="A138" s="46"/>
    </row>
    <row r="139" spans="1:1" ht="14.5">
      <c r="A139" s="46"/>
    </row>
    <row r="140" spans="1:1" ht="14.5">
      <c r="A140" s="46"/>
    </row>
    <row r="141" spans="1:1" ht="14.5">
      <c r="A141" s="46"/>
    </row>
    <row r="142" spans="1:1" ht="14.5">
      <c r="A142" s="46"/>
    </row>
    <row r="143" spans="1:1" ht="14.5">
      <c r="A143" s="46"/>
    </row>
    <row r="144" spans="1:1" ht="14.5">
      <c r="A144" s="46"/>
    </row>
    <row r="145" spans="1:1" ht="14.5">
      <c r="A145" s="46"/>
    </row>
    <row r="146" spans="1:1" ht="14.5">
      <c r="A146" s="46"/>
    </row>
    <row r="147" spans="1:1" ht="14.5">
      <c r="A147" s="46"/>
    </row>
    <row r="148" spans="1:1" ht="14.5">
      <c r="A148" s="46"/>
    </row>
    <row r="149" spans="1:1" ht="14.5">
      <c r="A149" s="46"/>
    </row>
    <row r="150" spans="1:1" ht="14.5">
      <c r="A150" s="46"/>
    </row>
    <row r="151" spans="1:1" ht="14.5">
      <c r="A151" s="46"/>
    </row>
    <row r="152" spans="1:1" ht="14.5">
      <c r="A152" s="46"/>
    </row>
    <row r="153" spans="1:1" ht="12.5">
      <c r="A153" s="43"/>
    </row>
    <row r="154" spans="1:1" ht="14.5">
      <c r="A154" s="46"/>
    </row>
    <row r="155" spans="1:1" ht="14.5">
      <c r="A155" s="46"/>
    </row>
    <row r="156" spans="1:1" ht="14.5">
      <c r="A156" s="46"/>
    </row>
    <row r="157" spans="1:1" ht="14.5">
      <c r="A157" s="46"/>
    </row>
    <row r="158" spans="1:1" ht="14.5">
      <c r="A158" s="46"/>
    </row>
    <row r="159" spans="1:1" ht="14.5">
      <c r="A159" s="46"/>
    </row>
    <row r="160" spans="1:1" ht="14.5">
      <c r="A160" s="46"/>
    </row>
  </sheetData>
  <sheetProtection algorithmName="SHA-512" hashValue="TTKVINpdxJ/Gvr3sAJjJI7eJpQe4oVRWNANDNV6MSgGnaAYokFzsgil7uAfIndpHO3ylJMxjDvq+/vJ28BM+5w==" saltValue="Gyx383yB36j3cbPP4JqDeQ==" spinCount="100000" sheet="1" objects="1" scenarios="1"/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B75A-A8B7-4913-8CCB-E6AAE32F83B0}">
  <sheetPr>
    <tabColor rgb="FFFFFF00"/>
  </sheetPr>
  <dimension ref="A2:C8"/>
  <sheetViews>
    <sheetView workbookViewId="0">
      <selection activeCell="B9" sqref="B9"/>
    </sheetView>
  </sheetViews>
  <sheetFormatPr defaultRowHeight="14.5"/>
  <cols>
    <col min="2" max="2" width="50.7265625" style="14" customWidth="1"/>
  </cols>
  <sheetData>
    <row r="2" spans="1:3">
      <c r="C2" t="s">
        <v>198</v>
      </c>
    </row>
    <row r="3" spans="1:3" ht="29">
      <c r="A3">
        <v>12132023</v>
      </c>
      <c r="B3" s="14" t="s">
        <v>206</v>
      </c>
      <c r="C3" t="s">
        <v>199</v>
      </c>
    </row>
    <row r="4" spans="1:3" ht="29">
      <c r="A4">
        <v>12132023</v>
      </c>
      <c r="B4" s="14" t="s">
        <v>197</v>
      </c>
      <c r="C4" t="s">
        <v>199</v>
      </c>
    </row>
    <row r="5" spans="1:3" ht="29">
      <c r="A5">
        <v>12132023</v>
      </c>
      <c r="B5" s="14" t="s">
        <v>200</v>
      </c>
      <c r="C5" t="s">
        <v>199</v>
      </c>
    </row>
    <row r="6" spans="1:3">
      <c r="A6">
        <v>12142023</v>
      </c>
      <c r="B6" s="14" t="s">
        <v>205</v>
      </c>
      <c r="C6" t="s">
        <v>199</v>
      </c>
    </row>
    <row r="7" spans="1:3" ht="29">
      <c r="A7">
        <v>12142023</v>
      </c>
      <c r="B7" s="14" t="s">
        <v>209</v>
      </c>
      <c r="C7" t="s">
        <v>199</v>
      </c>
    </row>
    <row r="8" spans="1:3" ht="43.5">
      <c r="A8">
        <v>1102024</v>
      </c>
      <c r="B8" s="14" t="s">
        <v>213</v>
      </c>
      <c r="C8" t="s">
        <v>199</v>
      </c>
    </row>
  </sheetData>
  <sheetProtection algorithmName="SHA-512" hashValue="UcU42avqGC2A5pers/HxvWh4QMlSUI7O5U0EX2XGF+oNRFHBXHyWu9VqlZ7zlQvU3MFA0uz6F61NAyQFCtgXKA==" saltValue="Uj2PnrZJ+W1ABFUx2ayD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Main Page</vt:lpstr>
      <vt:lpstr>Cost Share</vt:lpstr>
      <vt:lpstr>Salary Worksheet</vt:lpstr>
      <vt:lpstr>Course Buyout</vt:lpstr>
      <vt:lpstr>Subcontract</vt:lpstr>
      <vt:lpstr>Tuition</vt:lpstr>
      <vt:lpstr>Calculator</vt:lpstr>
      <vt:lpstr>Reference</vt:lpstr>
      <vt:lpstr>Version Updates</vt:lpstr>
      <vt:lpstr>fam</vt:lpstr>
      <vt:lpstr>GA_25_A</vt:lpstr>
      <vt:lpstr>GA_25_Spr</vt:lpstr>
      <vt:lpstr>GA_50_A</vt:lpstr>
      <vt:lpstr>GA_50_Fall</vt:lpstr>
      <vt:lpstr>GA_50_Spr</vt:lpstr>
      <vt:lpstr>ind</vt:lpstr>
      <vt:lpstr>PostDocBenefit</vt:lpstr>
      <vt:lpstr>PostDocBenefit2</vt:lpstr>
      <vt:lpstr>PostDocBenefit3</vt:lpstr>
      <vt:lpstr>PostDocBenefit4</vt:lpstr>
      <vt:lpstr>spouse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Jahn, Ryan</dc:creator>
  <cp:lastModifiedBy>Dianne Donnelly</cp:lastModifiedBy>
  <cp:lastPrinted>2022-02-05T18:28:00Z</cp:lastPrinted>
  <dcterms:created xsi:type="dcterms:W3CDTF">2014-01-03T16:55:46Z</dcterms:created>
  <dcterms:modified xsi:type="dcterms:W3CDTF">2024-01-12T15:32:49Z</dcterms:modified>
</cp:coreProperties>
</file>